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codeName="ThisWorkbook" hidePivotFieldList="1"/>
  <mc:AlternateContent xmlns:mc="http://schemas.openxmlformats.org/markup-compatibility/2006">
    <mc:Choice Requires="x15">
      <x15ac:absPath xmlns:x15ac="http://schemas.microsoft.com/office/spreadsheetml/2010/11/ac" url="/Users/blaisebodin/Dropbox/CBD Forest Programme/Workshops/Agadir/Session ToRs/"/>
    </mc:Choice>
  </mc:AlternateContent>
  <bookViews>
    <workbookView xWindow="960" yWindow="460" windowWidth="26440" windowHeight="17460" tabRatio="500"/>
  </bookViews>
  <sheets>
    <sheet name="Target 15" sheetId="25" r:id="rId1"/>
    <sheet name="Filters" sheetId="26" state="hidden" r:id="rId2"/>
  </sheets>
  <externalReferences>
    <externalReference r:id="rId3"/>
  </externalReferences>
  <definedNames>
    <definedName name="_xlnm._FilterDatabase" localSheetId="1" hidden="1">Filters!$A$5:$FU$203</definedName>
    <definedName name="Countries" localSheetId="1">Filters!$E$5:$E$203</definedName>
    <definedName name="Countries">#REF!</definedName>
    <definedName name="_xlnm.Criteria" localSheetId="1">Filters!$G$1:$G$2</definedName>
    <definedName name="Z_0AC22180_39AA_5149_9DD5_2CE120A61B25_.wvu.Cols" localSheetId="1" hidden="1">Filters!$AA:$AG,Filters!$AI:$AN,Filters!$AP:$AU,Filters!$AW:$AZ,Filters!$BN:$BO,Filters!$BR:$BS,Filters!$BU:$BW,Filters!$BY:$CB,Filters!$CD:$CG,Filters!$CL:$CO,Filters!$CR:$CT,Filters!$CX:$CZ</definedName>
    <definedName name="Z_0AC22180_39AA_5149_9DD5_2CE120A61B25_.wvu.FilterData" localSheetId="1" hidden="1">Filters!$A$5:$DC$204</definedName>
    <definedName name="Z_0AC22180_39AA_5149_9DD5_2CE120A61B25_.wvu.Rows" localSheetId="1" hidden="1">Filters!$4:$4,Filters!$209:$211,Filters!$223:$303</definedName>
    <definedName name="Z_58E037EA_6939_5C47_A9FA_33C5D2530C13_.wvu.FilterData" localSheetId="1" hidden="1">Filters!$A$5:$DC$204</definedName>
    <definedName name="Z_62E87BB7_D061_A840_B501_DA7C64F03A5A_.wvu.Cols" localSheetId="1" hidden="1">Filters!$A:$B,Filters!$G:$J,Filters!$Z:$DP,Filters!$DS:$DS,Filters!$DV:$DX</definedName>
    <definedName name="Z_62E87BB7_D061_A840_B501_DA7C64F03A5A_.wvu.FilterData" localSheetId="1" hidden="1">Filters!$A$5:$ED$203</definedName>
    <definedName name="Z_62E87BB7_D061_A840_B501_DA7C64F03A5A_.wvu.Rows" localSheetId="1" hidden="1">Filters!$4:$4,Filters!$209:$211</definedName>
    <definedName name="Z_8CB60EFB_9850_8749_B2F4_086D5A6224EB_.wvu.Cols" localSheetId="1" hidden="1">Filters!$Z:$DC</definedName>
    <definedName name="Z_8CB60EFB_9850_8749_B2F4_086D5A6224EB_.wvu.FilterData" localSheetId="1" hidden="1">Filters!$A$5:$DC$204</definedName>
    <definedName name="Z_8CB60EFB_9850_8749_B2F4_086D5A6224EB_.wvu.Rows" localSheetId="1" hidden="1">Filters!$4:$4,Filters!$209:$211,Filters!$223:$303</definedName>
    <definedName name="Z_92007664_CE52_514B_A20D_2BF5A0AA7B92_.wvu.Cols" localSheetId="1" hidden="1">Filters!$A:$B,Filters!$L:$DC</definedName>
    <definedName name="Z_92007664_CE52_514B_A20D_2BF5A0AA7B92_.wvu.FilterData" localSheetId="1" hidden="1">Filters!$A$5:$DC$202</definedName>
    <definedName name="Z_92007664_CE52_514B_A20D_2BF5A0AA7B92_.wvu.PrintArea" localSheetId="1" hidden="1">Filters!$E$5:$DC$156</definedName>
    <definedName name="Z_92007664_CE52_514B_A20D_2BF5A0AA7B92_.wvu.Rows" localSheetId="1" hidden="1">Filters!$4:$4,Filters!$209:$211,Filters!$223:$303</definedName>
    <definedName name="Z_ACC09B5A_370F_A448_853D_B0961CEA382D_.wvu.Cols" localSheetId="1" hidden="1">Filters!$Z:$CZ</definedName>
    <definedName name="Z_ACC09B5A_370F_A448_853D_B0961CEA382D_.wvu.FilterData" localSheetId="1" hidden="1">Filters!$A$5:$DC$204</definedName>
    <definedName name="Z_ACC09B5A_370F_A448_853D_B0961CEA382D_.wvu.Rows" localSheetId="1" hidden="1">Filters!$4:$4,Filters!$209:$211,Filters!$223:$303</definedName>
    <definedName name="Z_B9312329_3A5F_E14E_9427_5ACC06572E71_.wvu.Cols" localSheetId="1" hidden="1">Filters!$A:$A,Filters!$G:$J,Filters!$L:$DY</definedName>
    <definedName name="Z_B9312329_3A5F_E14E_9427_5ACC06572E71_.wvu.FilterData" localSheetId="1" hidden="1">Filters!$A$5:$ED$203</definedName>
    <definedName name="Z_B9312329_3A5F_E14E_9427_5ACC06572E71_.wvu.PrintArea" localSheetId="1" hidden="1">Filters!$E$5:$DY$78</definedName>
    <definedName name="Z_B9312329_3A5F_E14E_9427_5ACC06572E71_.wvu.Rows" localSheetId="1" hidden="1">Filters!$4:$4,Filters!$209:$211</definedName>
  </definedNames>
  <calcPr calcId="150001" concurrentCalc="0"/>
  <customWorkbookViews>
    <customWorkbookView name="Overview performance" guid="{92007664-CE52-514B-A20D-2BF5A0AA7B92}" maximized="1" windowWidth="1280" windowHeight="558" tabRatio="500" activeSheetId="1"/>
    <customWorkbookView name="INDC view" guid="{8CB60EFB-9850-8749-B2F4-086D5A6224EB}" maximized="1" windowWidth="1280" windowHeight="558" tabRatio="500" activeSheetId="1"/>
    <customWorkbookView name="Admin view (do not use)" guid="{58E037EA-6939-5C47-A9FA-33C5D2530C13}" maximized="1" windowWidth="1280" windowHeight="558" tabRatio="500" activeSheetId="1"/>
    <customWorkbookView name="Filter view" guid="{ACC09B5A-370F-A448-853D-B0961CEA382D}" maximized="1" windowWidth="1280" windowHeight="558" tabRatio="500" activeSheetId="1"/>
    <customWorkbookView name="Data Entry" guid="{0AC22180-39AA-5149-9DD5-2CE120A61B25}" maximized="1" windowWidth="1280" windowHeight="558" tabRatio="500" activeSheetId="1"/>
    <customWorkbookView name="HLS view" guid="{62E87BB7-D061-A840-B501-DA7C64F03A5A}" windowWidth="1292" windowHeight="620" tabRatio="500" activeSheetId="1"/>
    <customWorkbookView name="HLS future actions" guid="{B9312329-3A5F-E14E-9427-5ACC06572E71}" windowWidth="1292" windowHeight="658"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26" l="1"/>
  <c r="O2" i="26"/>
  <c r="B19" i="25"/>
  <c r="T2" i="26"/>
  <c r="P2" i="26"/>
  <c r="B10" i="25"/>
  <c r="P7" i="26"/>
  <c r="B27" i="25"/>
  <c r="O201" i="26"/>
  <c r="O7" i="26"/>
  <c r="U2" i="26"/>
  <c r="L300" i="26"/>
  <c r="L299" i="26"/>
  <c r="L298" i="26"/>
  <c r="CX7" i="26"/>
  <c r="CX8" i="26"/>
  <c r="CX28" i="26"/>
  <c r="CX32" i="26"/>
  <c r="CX6" i="26"/>
  <c r="CX9" i="26"/>
  <c r="CX10" i="26"/>
  <c r="CX11" i="26"/>
  <c r="CX12" i="26"/>
  <c r="CX13" i="26"/>
  <c r="CX14" i="26"/>
  <c r="CX15" i="26"/>
  <c r="CX16" i="26"/>
  <c r="CX17" i="26"/>
  <c r="CX18" i="26"/>
  <c r="CX19" i="26"/>
  <c r="CX20" i="26"/>
  <c r="CX21" i="26"/>
  <c r="CX22" i="26"/>
  <c r="CX23" i="26"/>
  <c r="CX24" i="26"/>
  <c r="CX25" i="26"/>
  <c r="CX26" i="26"/>
  <c r="CX27" i="26"/>
  <c r="CX29" i="26"/>
  <c r="CX30" i="26"/>
  <c r="CX31" i="26"/>
  <c r="CX33" i="26"/>
  <c r="CX34" i="26"/>
  <c r="CX35" i="26"/>
  <c r="CX36" i="26"/>
  <c r="CX37" i="26"/>
  <c r="CX38" i="26"/>
  <c r="CX39" i="26"/>
  <c r="CX40" i="26"/>
  <c r="CX41" i="26"/>
  <c r="CX42" i="26"/>
  <c r="CX43" i="26"/>
  <c r="CX44" i="26"/>
  <c r="CX45" i="26"/>
  <c r="CX46" i="26"/>
  <c r="CX47" i="26"/>
  <c r="CX48" i="26"/>
  <c r="CX49" i="26"/>
  <c r="CX50" i="26"/>
  <c r="CX51" i="26"/>
  <c r="CX52" i="26"/>
  <c r="CX53" i="26"/>
  <c r="CX54" i="26"/>
  <c r="CX55" i="26"/>
  <c r="CX56" i="26"/>
  <c r="CX57" i="26"/>
  <c r="CX58" i="26"/>
  <c r="CX59" i="26"/>
  <c r="CX60" i="26"/>
  <c r="CX61" i="26"/>
  <c r="CX62" i="26"/>
  <c r="CX63" i="26"/>
  <c r="CX64" i="26"/>
  <c r="CX65" i="26"/>
  <c r="CX66" i="26"/>
  <c r="CX67" i="26"/>
  <c r="CX68" i="26"/>
  <c r="CX69" i="26"/>
  <c r="CX70" i="26"/>
  <c r="CX71" i="26"/>
  <c r="CX72" i="26"/>
  <c r="CX73" i="26"/>
  <c r="CX74" i="26"/>
  <c r="CX75" i="26"/>
  <c r="CX76" i="26"/>
  <c r="CX77" i="26"/>
  <c r="CX78" i="26"/>
  <c r="CX79" i="26"/>
  <c r="CX80" i="26"/>
  <c r="CX81" i="26"/>
  <c r="CX82" i="26"/>
  <c r="CX83" i="26"/>
  <c r="CX84" i="26"/>
  <c r="CX85" i="26"/>
  <c r="CX86" i="26"/>
  <c r="CX87" i="26"/>
  <c r="CX88" i="26"/>
  <c r="CX89" i="26"/>
  <c r="CX90" i="26"/>
  <c r="CX91" i="26"/>
  <c r="CX93" i="26"/>
  <c r="CX94" i="26"/>
  <c r="CX95" i="26"/>
  <c r="CX96" i="26"/>
  <c r="CX97" i="26"/>
  <c r="CX98" i="26"/>
  <c r="CX99" i="26"/>
  <c r="CX100" i="26"/>
  <c r="CX101" i="26"/>
  <c r="CX102" i="26"/>
  <c r="CX103" i="26"/>
  <c r="CX104" i="26"/>
  <c r="CX105" i="26"/>
  <c r="CX106" i="26"/>
  <c r="CX107" i="26"/>
  <c r="CX108" i="26"/>
  <c r="CX109" i="26"/>
  <c r="CX110" i="26"/>
  <c r="CX111" i="26"/>
  <c r="CX112" i="26"/>
  <c r="CX113" i="26"/>
  <c r="CX114" i="26"/>
  <c r="CX115" i="26"/>
  <c r="CX116" i="26"/>
  <c r="CX117" i="26"/>
  <c r="CX118" i="26"/>
  <c r="CX119" i="26"/>
  <c r="CX120" i="26"/>
  <c r="CX121" i="26"/>
  <c r="CX122" i="26"/>
  <c r="CX123" i="26"/>
  <c r="CX124" i="26"/>
  <c r="CX125" i="26"/>
  <c r="CX126" i="26"/>
  <c r="CX127" i="26"/>
  <c r="CX128" i="26"/>
  <c r="CX129" i="26"/>
  <c r="CX130" i="26"/>
  <c r="CX131" i="26"/>
  <c r="CX132" i="26"/>
  <c r="CX133" i="26"/>
  <c r="CX134" i="26"/>
  <c r="CX135" i="26"/>
  <c r="CX136" i="26"/>
  <c r="CX137" i="26"/>
  <c r="CX138" i="26"/>
  <c r="CX139" i="26"/>
  <c r="CX140" i="26"/>
  <c r="CX141" i="26"/>
  <c r="CX142" i="26"/>
  <c r="CX143" i="26"/>
  <c r="CX144" i="26"/>
  <c r="CX145" i="26"/>
  <c r="CX146" i="26"/>
  <c r="CX147" i="26"/>
  <c r="CX148" i="26"/>
  <c r="CX149" i="26"/>
  <c r="CX150" i="26"/>
  <c r="CX151" i="26"/>
  <c r="CX152" i="26"/>
  <c r="CX153" i="26"/>
  <c r="CX154" i="26"/>
  <c r="CX155" i="26"/>
  <c r="CX156" i="26"/>
  <c r="CX157" i="26"/>
  <c r="CX158" i="26"/>
  <c r="CX159" i="26"/>
  <c r="CX160" i="26"/>
  <c r="CX161" i="26"/>
  <c r="CX162" i="26"/>
  <c r="CX163" i="26"/>
  <c r="CX164" i="26"/>
  <c r="CX165" i="26"/>
  <c r="CX166" i="26"/>
  <c r="CX167" i="26"/>
  <c r="CX168" i="26"/>
  <c r="CX169" i="26"/>
  <c r="CX170" i="26"/>
  <c r="CX171" i="26"/>
  <c r="CX172" i="26"/>
  <c r="CX173" i="26"/>
  <c r="CX174" i="26"/>
  <c r="CX175" i="26"/>
  <c r="CX176" i="26"/>
  <c r="CX177" i="26"/>
  <c r="CX178" i="26"/>
  <c r="CX179" i="26"/>
  <c r="CX180" i="26"/>
  <c r="CX181" i="26"/>
  <c r="CX182" i="26"/>
  <c r="CX183" i="26"/>
  <c r="CX184" i="26"/>
  <c r="CX185" i="26"/>
  <c r="CX186" i="26"/>
  <c r="CX187" i="26"/>
  <c r="CX188" i="26"/>
  <c r="CX189" i="26"/>
  <c r="CX190" i="26"/>
  <c r="CX191" i="26"/>
  <c r="CX192" i="26"/>
  <c r="CX193" i="26"/>
  <c r="CX194" i="26"/>
  <c r="CX195" i="26"/>
  <c r="CX196" i="26"/>
  <c r="CX197" i="26"/>
  <c r="CX198" i="26"/>
  <c r="CX199" i="26"/>
  <c r="CX200" i="26"/>
  <c r="CX201" i="26"/>
  <c r="CX202" i="26"/>
  <c r="L295" i="26"/>
  <c r="L294" i="26"/>
  <c r="L293" i="26"/>
  <c r="CU8" i="26"/>
  <c r="CU32" i="26"/>
  <c r="CU50" i="26"/>
  <c r="CU52" i="26"/>
  <c r="CU6" i="26"/>
  <c r="CU9" i="26"/>
  <c r="CU10" i="26"/>
  <c r="CU11" i="26"/>
  <c r="CU12" i="26"/>
  <c r="CU13" i="26"/>
  <c r="CU14" i="26"/>
  <c r="CU15" i="26"/>
  <c r="CU16" i="26"/>
  <c r="CU17" i="26"/>
  <c r="CU18" i="26"/>
  <c r="CU19" i="26"/>
  <c r="CU20" i="26"/>
  <c r="CU21" i="26"/>
  <c r="CU22" i="26"/>
  <c r="CU23" i="26"/>
  <c r="CU25" i="26"/>
  <c r="CU26" i="26"/>
  <c r="CU27" i="26"/>
  <c r="CU29" i="26"/>
  <c r="CU30" i="26"/>
  <c r="CU31" i="26"/>
  <c r="CU33" i="26"/>
  <c r="CU34" i="26"/>
  <c r="CU35" i="26"/>
  <c r="CU36" i="26"/>
  <c r="CU37" i="26"/>
  <c r="CU38" i="26"/>
  <c r="CU39" i="26"/>
  <c r="CU40" i="26"/>
  <c r="CU41" i="26"/>
  <c r="CU42" i="26"/>
  <c r="CU43" i="26"/>
  <c r="CU44" i="26"/>
  <c r="CU45" i="26"/>
  <c r="CU46" i="26"/>
  <c r="CU47" i="26"/>
  <c r="CU48" i="26"/>
  <c r="CU49" i="26"/>
  <c r="CU51" i="26"/>
  <c r="CU53" i="26"/>
  <c r="CU54" i="26"/>
  <c r="CU55" i="26"/>
  <c r="CU56" i="26"/>
  <c r="CU57" i="26"/>
  <c r="CU58" i="26"/>
  <c r="CU59" i="26"/>
  <c r="CU60" i="26"/>
  <c r="CU61" i="26"/>
  <c r="CU62" i="26"/>
  <c r="CU63" i="26"/>
  <c r="CU64" i="26"/>
  <c r="CU65" i="26"/>
  <c r="CU66" i="26"/>
  <c r="CU67" i="26"/>
  <c r="CU68" i="26"/>
  <c r="CU69" i="26"/>
  <c r="CU70" i="26"/>
  <c r="CU71" i="26"/>
  <c r="CU72" i="26"/>
  <c r="CU73" i="26"/>
  <c r="CU74" i="26"/>
  <c r="CU75" i="26"/>
  <c r="CU76" i="26"/>
  <c r="CU77" i="26"/>
  <c r="CU78" i="26"/>
  <c r="CU79" i="26"/>
  <c r="CU80" i="26"/>
  <c r="CU81" i="26"/>
  <c r="CU82" i="26"/>
  <c r="CU83" i="26"/>
  <c r="CU84" i="26"/>
  <c r="CU85" i="26"/>
  <c r="CU86" i="26"/>
  <c r="CU87" i="26"/>
  <c r="CU88" i="26"/>
  <c r="CU89" i="26"/>
  <c r="CU90" i="26"/>
  <c r="CU91" i="26"/>
  <c r="CU92" i="26"/>
  <c r="CU93" i="26"/>
  <c r="CU94" i="26"/>
  <c r="CU95" i="26"/>
  <c r="CU96" i="26"/>
  <c r="CU97" i="26"/>
  <c r="CU98" i="26"/>
  <c r="CU99" i="26"/>
  <c r="CU100" i="26"/>
  <c r="CU101" i="26"/>
  <c r="CU102" i="26"/>
  <c r="CU103" i="26"/>
  <c r="CU104" i="26"/>
  <c r="CU105" i="26"/>
  <c r="CU106" i="26"/>
  <c r="CU107" i="26"/>
  <c r="CU108" i="26"/>
  <c r="CU109" i="26"/>
  <c r="CU110" i="26"/>
  <c r="CU111" i="26"/>
  <c r="CU112" i="26"/>
  <c r="CU113" i="26"/>
  <c r="CU114" i="26"/>
  <c r="CU115" i="26"/>
  <c r="CU116" i="26"/>
  <c r="CU117" i="26"/>
  <c r="CU118" i="26"/>
  <c r="CU119" i="26"/>
  <c r="CU120" i="26"/>
  <c r="CU121" i="26"/>
  <c r="CU122" i="26"/>
  <c r="CU123" i="26"/>
  <c r="CU124" i="26"/>
  <c r="CU125" i="26"/>
  <c r="CU126" i="26"/>
  <c r="CU127" i="26"/>
  <c r="CU128" i="26"/>
  <c r="CU129" i="26"/>
  <c r="CU130" i="26"/>
  <c r="CU131" i="26"/>
  <c r="CU132" i="26"/>
  <c r="CU133" i="26"/>
  <c r="CU134" i="26"/>
  <c r="CU135" i="26"/>
  <c r="CU136" i="26"/>
  <c r="CU137" i="26"/>
  <c r="CU138" i="26"/>
  <c r="CU139" i="26"/>
  <c r="CU140" i="26"/>
  <c r="CU141" i="26"/>
  <c r="CU142" i="26"/>
  <c r="CU143" i="26"/>
  <c r="CU144" i="26"/>
  <c r="CU145" i="26"/>
  <c r="CU146" i="26"/>
  <c r="CU147" i="26"/>
  <c r="CU148" i="26"/>
  <c r="CU149" i="26"/>
  <c r="CU150" i="26"/>
  <c r="CU151" i="26"/>
  <c r="CU152" i="26"/>
  <c r="CU153" i="26"/>
  <c r="CU154" i="26"/>
  <c r="CU155" i="26"/>
  <c r="CU156" i="26"/>
  <c r="CU157" i="26"/>
  <c r="CU158" i="26"/>
  <c r="CU159" i="26"/>
  <c r="CU160" i="26"/>
  <c r="CU161" i="26"/>
  <c r="CU162" i="26"/>
  <c r="CU163" i="26"/>
  <c r="CU164" i="26"/>
  <c r="CU165" i="26"/>
  <c r="CU166" i="26"/>
  <c r="CU167" i="26"/>
  <c r="CU168" i="26"/>
  <c r="CU169" i="26"/>
  <c r="CU170" i="26"/>
  <c r="CU171" i="26"/>
  <c r="CU172" i="26"/>
  <c r="CU173" i="26"/>
  <c r="CU174" i="26"/>
  <c r="CU175" i="26"/>
  <c r="CU176" i="26"/>
  <c r="CU177" i="26"/>
  <c r="CU178" i="26"/>
  <c r="CU179" i="26"/>
  <c r="CU180" i="26"/>
  <c r="CU181" i="26"/>
  <c r="CU182" i="26"/>
  <c r="CU183" i="26"/>
  <c r="CU184" i="26"/>
  <c r="CU185" i="26"/>
  <c r="CU186" i="26"/>
  <c r="CU187" i="26"/>
  <c r="CU188" i="26"/>
  <c r="CU189" i="26"/>
  <c r="CU190" i="26"/>
  <c r="CU191" i="26"/>
  <c r="CU192" i="26"/>
  <c r="CU193" i="26"/>
  <c r="CU194" i="26"/>
  <c r="CU195" i="26"/>
  <c r="CU196" i="26"/>
  <c r="CU197" i="26"/>
  <c r="CU198" i="26"/>
  <c r="CU199" i="26"/>
  <c r="CU200" i="26"/>
  <c r="CU201" i="26"/>
  <c r="CU202" i="26"/>
  <c r="L292" i="26"/>
  <c r="CT7" i="26"/>
  <c r="CT8" i="26"/>
  <c r="CT32" i="26"/>
  <c r="CT50" i="26"/>
  <c r="CT6" i="26"/>
  <c r="CT9" i="26"/>
  <c r="CT10" i="26"/>
  <c r="CT11" i="26"/>
  <c r="CT12" i="26"/>
  <c r="CT13" i="26"/>
  <c r="CT14" i="26"/>
  <c r="CT15" i="26"/>
  <c r="CT16" i="26"/>
  <c r="CT17" i="26"/>
  <c r="CT18" i="26"/>
  <c r="CT19" i="26"/>
  <c r="CT20" i="26"/>
  <c r="CT21" i="26"/>
  <c r="CT22" i="26"/>
  <c r="CT23" i="26"/>
  <c r="CT24" i="26"/>
  <c r="CT25" i="26"/>
  <c r="CT26" i="26"/>
  <c r="CT27" i="26"/>
  <c r="CT29" i="26"/>
  <c r="CT30" i="26"/>
  <c r="CT31" i="26"/>
  <c r="CT33" i="26"/>
  <c r="CT34" i="26"/>
  <c r="CT35" i="26"/>
  <c r="CT36" i="26"/>
  <c r="CT37" i="26"/>
  <c r="CT38" i="26"/>
  <c r="CT39" i="26"/>
  <c r="CT40" i="26"/>
  <c r="CT41" i="26"/>
  <c r="CT42" i="26"/>
  <c r="CT43" i="26"/>
  <c r="CT44" i="26"/>
  <c r="CT45" i="26"/>
  <c r="CT46" i="26"/>
  <c r="CT47" i="26"/>
  <c r="CT48" i="26"/>
  <c r="CT49" i="26"/>
  <c r="CT51" i="26"/>
  <c r="CT52" i="26"/>
  <c r="CT53" i="26"/>
  <c r="CT54" i="26"/>
  <c r="CT55" i="26"/>
  <c r="CT56" i="26"/>
  <c r="CT57" i="26"/>
  <c r="CT58" i="26"/>
  <c r="CT59" i="26"/>
  <c r="CT60" i="26"/>
  <c r="CT61" i="26"/>
  <c r="CT62" i="26"/>
  <c r="CT63" i="26"/>
  <c r="CT64" i="26"/>
  <c r="CT65" i="26"/>
  <c r="CT66" i="26"/>
  <c r="CT67" i="26"/>
  <c r="CT68" i="26"/>
  <c r="CT69" i="26"/>
  <c r="CT70" i="26"/>
  <c r="CT71" i="26"/>
  <c r="CT72" i="26"/>
  <c r="CT73" i="26"/>
  <c r="CT74" i="26"/>
  <c r="CT75" i="26"/>
  <c r="CT76" i="26"/>
  <c r="CT77" i="26"/>
  <c r="CT78" i="26"/>
  <c r="CT79" i="26"/>
  <c r="CT80" i="26"/>
  <c r="CT81" i="26"/>
  <c r="CT82" i="26"/>
  <c r="CT83" i="26"/>
  <c r="CT84" i="26"/>
  <c r="CT85" i="26"/>
  <c r="CT86" i="26"/>
  <c r="CT87" i="26"/>
  <c r="CT88" i="26"/>
  <c r="CT89" i="26"/>
  <c r="CT90" i="26"/>
  <c r="CT91" i="26"/>
  <c r="CT92" i="26"/>
  <c r="CT93" i="26"/>
  <c r="CT94" i="26"/>
  <c r="CT95" i="26"/>
  <c r="CT96" i="26"/>
  <c r="CT97" i="26"/>
  <c r="CT98" i="26"/>
  <c r="CT99" i="26"/>
  <c r="CT100" i="26"/>
  <c r="CT101" i="26"/>
  <c r="CT102" i="26"/>
  <c r="CT103" i="26"/>
  <c r="CT104" i="26"/>
  <c r="CT105" i="26"/>
  <c r="CT106" i="26"/>
  <c r="CT107" i="26"/>
  <c r="CT108" i="26"/>
  <c r="CT109" i="26"/>
  <c r="CT110" i="26"/>
  <c r="CT111" i="26"/>
  <c r="CT112" i="26"/>
  <c r="CT113" i="26"/>
  <c r="CT114" i="26"/>
  <c r="CT115" i="26"/>
  <c r="CT116" i="26"/>
  <c r="CT117" i="26"/>
  <c r="CT118" i="26"/>
  <c r="CT119" i="26"/>
  <c r="CT120" i="26"/>
  <c r="CT121" i="26"/>
  <c r="CT122" i="26"/>
  <c r="CT123" i="26"/>
  <c r="CT124" i="26"/>
  <c r="CT125" i="26"/>
  <c r="CT126" i="26"/>
  <c r="CT127" i="26"/>
  <c r="CT128" i="26"/>
  <c r="CT129" i="26"/>
  <c r="CT130" i="26"/>
  <c r="CT131" i="26"/>
  <c r="CT132" i="26"/>
  <c r="CT133" i="26"/>
  <c r="CT134" i="26"/>
  <c r="CT135" i="26"/>
  <c r="CT136" i="26"/>
  <c r="CT137" i="26"/>
  <c r="CT138" i="26"/>
  <c r="CT139" i="26"/>
  <c r="CT140" i="26"/>
  <c r="CT141" i="26"/>
  <c r="CT142" i="26"/>
  <c r="CT143" i="26"/>
  <c r="CT144" i="26"/>
  <c r="CT145" i="26"/>
  <c r="CT146" i="26"/>
  <c r="CT147" i="26"/>
  <c r="CT148" i="26"/>
  <c r="CT149" i="26"/>
  <c r="CT150" i="26"/>
  <c r="CT151" i="26"/>
  <c r="CT152" i="26"/>
  <c r="CT153" i="26"/>
  <c r="CT154" i="26"/>
  <c r="CT155" i="26"/>
  <c r="CT156" i="26"/>
  <c r="CT157" i="26"/>
  <c r="CT158" i="26"/>
  <c r="CT159" i="26"/>
  <c r="CT160" i="26"/>
  <c r="CT161" i="26"/>
  <c r="CT162" i="26"/>
  <c r="CT163" i="26"/>
  <c r="CT164" i="26"/>
  <c r="CT165" i="26"/>
  <c r="CT166" i="26"/>
  <c r="CT167" i="26"/>
  <c r="CT168" i="26"/>
  <c r="CT169" i="26"/>
  <c r="CT170" i="26"/>
  <c r="CT171" i="26"/>
  <c r="CT172" i="26"/>
  <c r="CT173" i="26"/>
  <c r="CT174" i="26"/>
  <c r="CT175" i="26"/>
  <c r="CT176" i="26"/>
  <c r="CT177" i="26"/>
  <c r="CT178" i="26"/>
  <c r="CT179" i="26"/>
  <c r="CT180" i="26"/>
  <c r="CT181" i="26"/>
  <c r="CT182" i="26"/>
  <c r="CT183" i="26"/>
  <c r="CT184" i="26"/>
  <c r="CT185" i="26"/>
  <c r="CT186" i="26"/>
  <c r="CT187" i="26"/>
  <c r="CT188" i="26"/>
  <c r="CT189" i="26"/>
  <c r="CT190" i="26"/>
  <c r="CT191" i="26"/>
  <c r="CT192" i="26"/>
  <c r="CT193" i="26"/>
  <c r="CT194" i="26"/>
  <c r="CT195" i="26"/>
  <c r="CT196" i="26"/>
  <c r="CT197" i="26"/>
  <c r="CT198" i="26"/>
  <c r="CT199" i="26"/>
  <c r="CT200" i="26"/>
  <c r="CT201" i="26"/>
  <c r="CT202" i="26"/>
  <c r="L291" i="26"/>
  <c r="CS7" i="26"/>
  <c r="CS8" i="26"/>
  <c r="CS28" i="26"/>
  <c r="CS32" i="26"/>
  <c r="CS6" i="26"/>
  <c r="CS9" i="26"/>
  <c r="CS10" i="26"/>
  <c r="CS11" i="26"/>
  <c r="CS12" i="26"/>
  <c r="CS13" i="26"/>
  <c r="CS14" i="26"/>
  <c r="CS15" i="26"/>
  <c r="CS16" i="26"/>
  <c r="CS17" i="26"/>
  <c r="CS18" i="26"/>
  <c r="CS19" i="26"/>
  <c r="CS20" i="26"/>
  <c r="CS21" i="26"/>
  <c r="CS22" i="26"/>
  <c r="CS23" i="26"/>
  <c r="CS24" i="26"/>
  <c r="CS25" i="26"/>
  <c r="CS26" i="26"/>
  <c r="CS27" i="26"/>
  <c r="CS29" i="26"/>
  <c r="CS30" i="26"/>
  <c r="CS31" i="26"/>
  <c r="CS33" i="26"/>
  <c r="CS34" i="26"/>
  <c r="CS35" i="26"/>
  <c r="CS36" i="26"/>
  <c r="CS37" i="26"/>
  <c r="CS38" i="26"/>
  <c r="CS39" i="26"/>
  <c r="CS40" i="26"/>
  <c r="CS41" i="26"/>
  <c r="CS42" i="26"/>
  <c r="CS43" i="26"/>
  <c r="CS44" i="26"/>
  <c r="CS45" i="26"/>
  <c r="CS46" i="26"/>
  <c r="CS47" i="26"/>
  <c r="CS48" i="26"/>
  <c r="CS49" i="26"/>
  <c r="CS50" i="26"/>
  <c r="CS51" i="26"/>
  <c r="CS52" i="26"/>
  <c r="CS53" i="26"/>
  <c r="CS54" i="26"/>
  <c r="CS55" i="26"/>
  <c r="CS56" i="26"/>
  <c r="CS57" i="26"/>
  <c r="CS58" i="26"/>
  <c r="CS59" i="26"/>
  <c r="CS60" i="26"/>
  <c r="CS61" i="26"/>
  <c r="CS62" i="26"/>
  <c r="CS63" i="26"/>
  <c r="CS64" i="26"/>
  <c r="CS65" i="26"/>
  <c r="CS66" i="26"/>
  <c r="CS67" i="26"/>
  <c r="CS68" i="26"/>
  <c r="CS69" i="26"/>
  <c r="CS71" i="26"/>
  <c r="CS72" i="26"/>
  <c r="CS73" i="26"/>
  <c r="CS74" i="26"/>
  <c r="CS75" i="26"/>
  <c r="CS76" i="26"/>
  <c r="CS77" i="26"/>
  <c r="CS78" i="26"/>
  <c r="CS79" i="26"/>
  <c r="CS80" i="26"/>
  <c r="CS81" i="26"/>
  <c r="CS82" i="26"/>
  <c r="CS83" i="26"/>
  <c r="CS84" i="26"/>
  <c r="CS85" i="26"/>
  <c r="CS86" i="26"/>
  <c r="CS87" i="26"/>
  <c r="CS88" i="26"/>
  <c r="CS89" i="26"/>
  <c r="CS90" i="26"/>
  <c r="CS91" i="26"/>
  <c r="CS92" i="26"/>
  <c r="CS93" i="26"/>
  <c r="CS94" i="26"/>
  <c r="CS95" i="26"/>
  <c r="CS96" i="26"/>
  <c r="CS97" i="26"/>
  <c r="CS98" i="26"/>
  <c r="CS99" i="26"/>
  <c r="CS100" i="26"/>
  <c r="CS101" i="26"/>
  <c r="CS102" i="26"/>
  <c r="CS103" i="26"/>
  <c r="CS104" i="26"/>
  <c r="CS105" i="26"/>
  <c r="CS106" i="26"/>
  <c r="CS107" i="26"/>
  <c r="CS108" i="26"/>
  <c r="CS109" i="26"/>
  <c r="CS110" i="26"/>
  <c r="CS111" i="26"/>
  <c r="CS112" i="26"/>
  <c r="CS113" i="26"/>
  <c r="CS114" i="26"/>
  <c r="CS115" i="26"/>
  <c r="CS116" i="26"/>
  <c r="CS117" i="26"/>
  <c r="CS118" i="26"/>
  <c r="CS119" i="26"/>
  <c r="CS120" i="26"/>
  <c r="CS121" i="26"/>
  <c r="CS122" i="26"/>
  <c r="CS123" i="26"/>
  <c r="CS124" i="26"/>
  <c r="CS125" i="26"/>
  <c r="CS126" i="26"/>
  <c r="CS127" i="26"/>
  <c r="CS128" i="26"/>
  <c r="CS129" i="26"/>
  <c r="CS130" i="26"/>
  <c r="CS131" i="26"/>
  <c r="CS132" i="26"/>
  <c r="CS133" i="26"/>
  <c r="CS134" i="26"/>
  <c r="CS135" i="26"/>
  <c r="CS136" i="26"/>
  <c r="CS137" i="26"/>
  <c r="CS138" i="26"/>
  <c r="CS139" i="26"/>
  <c r="CS140" i="26"/>
  <c r="CS141" i="26"/>
  <c r="CS142" i="26"/>
  <c r="CS143" i="26"/>
  <c r="CS144" i="26"/>
  <c r="CS145" i="26"/>
  <c r="CS146" i="26"/>
  <c r="CS147" i="26"/>
  <c r="CS148" i="26"/>
  <c r="CS149" i="26"/>
  <c r="CS150" i="26"/>
  <c r="CS151" i="26"/>
  <c r="CS152" i="26"/>
  <c r="CS153" i="26"/>
  <c r="CS154" i="26"/>
  <c r="CS155" i="26"/>
  <c r="CS156" i="26"/>
  <c r="CS157" i="26"/>
  <c r="CS158" i="26"/>
  <c r="CS159" i="26"/>
  <c r="CS160" i="26"/>
  <c r="CS161" i="26"/>
  <c r="CS162" i="26"/>
  <c r="CS163" i="26"/>
  <c r="CS164" i="26"/>
  <c r="CS165" i="26"/>
  <c r="CS166" i="26"/>
  <c r="CS167" i="26"/>
  <c r="CS168" i="26"/>
  <c r="CS169" i="26"/>
  <c r="CS170" i="26"/>
  <c r="CS171" i="26"/>
  <c r="CS172" i="26"/>
  <c r="CS173" i="26"/>
  <c r="CS174" i="26"/>
  <c r="CS175" i="26"/>
  <c r="CS176" i="26"/>
  <c r="CS177" i="26"/>
  <c r="CS178" i="26"/>
  <c r="CS179" i="26"/>
  <c r="CS180" i="26"/>
  <c r="CS181" i="26"/>
  <c r="CS182" i="26"/>
  <c r="CS183" i="26"/>
  <c r="CS184" i="26"/>
  <c r="CS185" i="26"/>
  <c r="CS186" i="26"/>
  <c r="CS187" i="26"/>
  <c r="CS188" i="26"/>
  <c r="CS189" i="26"/>
  <c r="CS190" i="26"/>
  <c r="CS191" i="26"/>
  <c r="CS192" i="26"/>
  <c r="CS193" i="26"/>
  <c r="CS194" i="26"/>
  <c r="CS195" i="26"/>
  <c r="CS196" i="26"/>
  <c r="CS197" i="26"/>
  <c r="CS198" i="26"/>
  <c r="CS199" i="26"/>
  <c r="CS200" i="26"/>
  <c r="CS201" i="26"/>
  <c r="CS202" i="26"/>
  <c r="L290" i="26"/>
  <c r="L288" i="26"/>
  <c r="L287" i="26"/>
  <c r="CO7" i="26"/>
  <c r="CO8" i="26"/>
  <c r="CO28" i="26"/>
  <c r="CO32" i="26"/>
  <c r="CO6" i="26"/>
  <c r="CO9" i="26"/>
  <c r="CO10" i="26"/>
  <c r="CO11" i="26"/>
  <c r="CO12" i="26"/>
  <c r="CO13" i="26"/>
  <c r="CO14" i="26"/>
  <c r="CO15" i="26"/>
  <c r="CO16" i="26"/>
  <c r="CO17" i="26"/>
  <c r="CO18" i="26"/>
  <c r="CO19" i="26"/>
  <c r="CO20" i="26"/>
  <c r="CO21" i="26"/>
  <c r="CO22" i="26"/>
  <c r="CO23" i="26"/>
  <c r="CO24" i="26"/>
  <c r="CO25" i="26"/>
  <c r="CO26" i="26"/>
  <c r="CO27" i="26"/>
  <c r="CO29" i="26"/>
  <c r="CO30" i="26"/>
  <c r="CO31" i="26"/>
  <c r="CO33" i="26"/>
  <c r="CO34" i="26"/>
  <c r="CO35" i="26"/>
  <c r="CO36" i="26"/>
  <c r="CO37" i="26"/>
  <c r="CO38" i="26"/>
  <c r="CO39" i="26"/>
  <c r="CO40" i="26"/>
  <c r="CO41" i="26"/>
  <c r="CO42" i="26"/>
  <c r="CO43" i="26"/>
  <c r="CO44" i="26"/>
  <c r="CO45" i="26"/>
  <c r="CO46" i="26"/>
  <c r="CO47" i="26"/>
  <c r="CO48" i="26"/>
  <c r="CO49" i="26"/>
  <c r="CO50" i="26"/>
  <c r="CO51" i="26"/>
  <c r="CO52" i="26"/>
  <c r="CO53" i="26"/>
  <c r="CO54" i="26"/>
  <c r="CO55" i="26"/>
  <c r="CO56" i="26"/>
  <c r="CO57" i="26"/>
  <c r="CO58" i="26"/>
  <c r="CO59" i="26"/>
  <c r="CO60" i="26"/>
  <c r="CO61" i="26"/>
  <c r="CO62" i="26"/>
  <c r="CO63" i="26"/>
  <c r="CO64" i="26"/>
  <c r="CO65" i="26"/>
  <c r="CO66" i="26"/>
  <c r="CO67" i="26"/>
  <c r="CO68" i="26"/>
  <c r="CO69" i="26"/>
  <c r="CO70" i="26"/>
  <c r="CO71" i="26"/>
  <c r="CO72" i="26"/>
  <c r="CO73" i="26"/>
  <c r="CO74" i="26"/>
  <c r="CO75" i="26"/>
  <c r="CO76" i="26"/>
  <c r="CO77" i="26"/>
  <c r="CO78" i="26"/>
  <c r="CO79" i="26"/>
  <c r="CO80" i="26"/>
  <c r="CO81" i="26"/>
  <c r="CO82" i="26"/>
  <c r="CO83" i="26"/>
  <c r="CO84" i="26"/>
  <c r="CO85" i="26"/>
  <c r="CO86" i="26"/>
  <c r="CO87" i="26"/>
  <c r="CO88" i="26"/>
  <c r="CO89" i="26"/>
  <c r="CO90" i="26"/>
  <c r="CO91" i="26"/>
  <c r="CO92" i="26"/>
  <c r="CO93" i="26"/>
  <c r="CO94" i="26"/>
  <c r="CO95" i="26"/>
  <c r="CO96" i="26"/>
  <c r="CO97" i="26"/>
  <c r="CO98" i="26"/>
  <c r="CO99" i="26"/>
  <c r="CO100" i="26"/>
  <c r="CO101" i="26"/>
  <c r="CO102" i="26"/>
  <c r="CO103" i="26"/>
  <c r="CO104" i="26"/>
  <c r="CO105" i="26"/>
  <c r="CO106" i="26"/>
  <c r="CO107" i="26"/>
  <c r="CO108" i="26"/>
  <c r="CO109" i="26"/>
  <c r="CO110" i="26"/>
  <c r="CO111" i="26"/>
  <c r="CO112" i="26"/>
  <c r="CO113" i="26"/>
  <c r="CO114" i="26"/>
  <c r="CO115" i="26"/>
  <c r="CO116" i="26"/>
  <c r="CO117" i="26"/>
  <c r="CO118" i="26"/>
  <c r="CO119" i="26"/>
  <c r="CO120" i="26"/>
  <c r="CO121" i="26"/>
  <c r="CO122" i="26"/>
  <c r="CO123" i="26"/>
  <c r="CO124" i="26"/>
  <c r="CO125" i="26"/>
  <c r="CO126" i="26"/>
  <c r="CO127" i="26"/>
  <c r="CO128" i="26"/>
  <c r="CO129" i="26"/>
  <c r="CO130" i="26"/>
  <c r="CO131" i="26"/>
  <c r="CO132" i="26"/>
  <c r="CO133" i="26"/>
  <c r="CO134" i="26"/>
  <c r="CO135" i="26"/>
  <c r="CO136" i="26"/>
  <c r="CO137" i="26"/>
  <c r="CO138" i="26"/>
  <c r="CO139" i="26"/>
  <c r="CO140" i="26"/>
  <c r="CO141" i="26"/>
  <c r="CO142" i="26"/>
  <c r="CO143" i="26"/>
  <c r="CO144" i="26"/>
  <c r="CO145" i="26"/>
  <c r="CO146" i="26"/>
  <c r="CO147" i="26"/>
  <c r="CO148" i="26"/>
  <c r="CO149" i="26"/>
  <c r="CO150" i="26"/>
  <c r="CO151" i="26"/>
  <c r="CO152" i="26"/>
  <c r="CO153" i="26"/>
  <c r="CO154" i="26"/>
  <c r="CO155" i="26"/>
  <c r="CO156" i="26"/>
  <c r="CO157" i="26"/>
  <c r="CO158" i="26"/>
  <c r="CO159" i="26"/>
  <c r="CO160" i="26"/>
  <c r="CO161" i="26"/>
  <c r="CO163" i="26"/>
  <c r="CO164" i="26"/>
  <c r="CO165" i="26"/>
  <c r="CO166" i="26"/>
  <c r="CO167" i="26"/>
  <c r="CO168" i="26"/>
  <c r="CO169" i="26"/>
  <c r="CO170" i="26"/>
  <c r="CO171" i="26"/>
  <c r="CO172" i="26"/>
  <c r="CO173" i="26"/>
  <c r="CO174" i="26"/>
  <c r="CO175" i="26"/>
  <c r="CO176" i="26"/>
  <c r="CO177" i="26"/>
  <c r="CO178" i="26"/>
  <c r="CO179" i="26"/>
  <c r="CO180" i="26"/>
  <c r="CO181" i="26"/>
  <c r="CO182" i="26"/>
  <c r="CO183" i="26"/>
  <c r="CO184" i="26"/>
  <c r="CO185" i="26"/>
  <c r="CO186" i="26"/>
  <c r="CO187" i="26"/>
  <c r="CO188" i="26"/>
  <c r="CO189" i="26"/>
  <c r="CO190" i="26"/>
  <c r="CO191" i="26"/>
  <c r="CO192" i="26"/>
  <c r="CO193" i="26"/>
  <c r="CO194" i="26"/>
  <c r="CO195" i="26"/>
  <c r="CO196" i="26"/>
  <c r="CO197" i="26"/>
  <c r="CO198" i="26"/>
  <c r="CO199" i="26"/>
  <c r="CO200" i="26"/>
  <c r="CO201" i="26"/>
  <c r="CO202" i="26"/>
  <c r="L286" i="26"/>
  <c r="CL8" i="26"/>
  <c r="CL28" i="26"/>
  <c r="CL32" i="26"/>
  <c r="CL50" i="26"/>
  <c r="CL6" i="26"/>
  <c r="CL9" i="26"/>
  <c r="CL10" i="26"/>
  <c r="CL11" i="26"/>
  <c r="CL12" i="26"/>
  <c r="CL13" i="26"/>
  <c r="CL14" i="26"/>
  <c r="CL15" i="26"/>
  <c r="CL16" i="26"/>
  <c r="CL17" i="26"/>
  <c r="CL18" i="26"/>
  <c r="CL19" i="26"/>
  <c r="CL20" i="26"/>
  <c r="CL21" i="26"/>
  <c r="CL22" i="26"/>
  <c r="CL23" i="26"/>
  <c r="CL24" i="26"/>
  <c r="CL25" i="26"/>
  <c r="CL26" i="26"/>
  <c r="CL27" i="26"/>
  <c r="CL29" i="26"/>
  <c r="CL30" i="26"/>
  <c r="CL31" i="26"/>
  <c r="CL33" i="26"/>
  <c r="CL34" i="26"/>
  <c r="CL35" i="26"/>
  <c r="CL36" i="26"/>
  <c r="CL37" i="26"/>
  <c r="CL38" i="26"/>
  <c r="CL39" i="26"/>
  <c r="CL40" i="26"/>
  <c r="CL41" i="26"/>
  <c r="CL42" i="26"/>
  <c r="CL43" i="26"/>
  <c r="CL44" i="26"/>
  <c r="CL45" i="26"/>
  <c r="CL46" i="26"/>
  <c r="CL47" i="26"/>
  <c r="CL48" i="26"/>
  <c r="CL49" i="26"/>
  <c r="CL51" i="26"/>
  <c r="CL52" i="26"/>
  <c r="CL53" i="26"/>
  <c r="CL54" i="26"/>
  <c r="CL55" i="26"/>
  <c r="CL56" i="26"/>
  <c r="CL57" i="26"/>
  <c r="CL58" i="26"/>
  <c r="CL59" i="26"/>
  <c r="CL60" i="26"/>
  <c r="CL61" i="26"/>
  <c r="CL62" i="26"/>
  <c r="CL63" i="26"/>
  <c r="CL64" i="26"/>
  <c r="CL65" i="26"/>
  <c r="CL66" i="26"/>
  <c r="CL67" i="26"/>
  <c r="CL68" i="26"/>
  <c r="CL69" i="26"/>
  <c r="CL70" i="26"/>
  <c r="CL71" i="26"/>
  <c r="CL72" i="26"/>
  <c r="CL73" i="26"/>
  <c r="CL74" i="26"/>
  <c r="CL75" i="26"/>
  <c r="CL76" i="26"/>
  <c r="CL77" i="26"/>
  <c r="CL78" i="26"/>
  <c r="CL79" i="26"/>
  <c r="CL80" i="26"/>
  <c r="CL81" i="26"/>
  <c r="CL82" i="26"/>
  <c r="CL83" i="26"/>
  <c r="CL84" i="26"/>
  <c r="CL85" i="26"/>
  <c r="CL86" i="26"/>
  <c r="CL87" i="26"/>
  <c r="CL88" i="26"/>
  <c r="CL89" i="26"/>
  <c r="CL90" i="26"/>
  <c r="CL91" i="26"/>
  <c r="CL92" i="26"/>
  <c r="CL93" i="26"/>
  <c r="CL94" i="26"/>
  <c r="CL95" i="26"/>
  <c r="CL96" i="26"/>
  <c r="CL97" i="26"/>
  <c r="CL98" i="26"/>
  <c r="CL99" i="26"/>
  <c r="CL100" i="26"/>
  <c r="CL101" i="26"/>
  <c r="CL102" i="26"/>
  <c r="CL103" i="26"/>
  <c r="CL104" i="26"/>
  <c r="CL105" i="26"/>
  <c r="CL106" i="26"/>
  <c r="CL107" i="26"/>
  <c r="CL108" i="26"/>
  <c r="CL109" i="26"/>
  <c r="CL110" i="26"/>
  <c r="CL111" i="26"/>
  <c r="CL112" i="26"/>
  <c r="CL113" i="26"/>
  <c r="CL114" i="26"/>
  <c r="CL115" i="26"/>
  <c r="CL116" i="26"/>
  <c r="CL117" i="26"/>
  <c r="CL118" i="26"/>
  <c r="CL119" i="26"/>
  <c r="CL120" i="26"/>
  <c r="CL121" i="26"/>
  <c r="CL122" i="26"/>
  <c r="CL123" i="26"/>
  <c r="CL124" i="26"/>
  <c r="CL125" i="26"/>
  <c r="CL126" i="26"/>
  <c r="CL127" i="26"/>
  <c r="CL128" i="26"/>
  <c r="CL129" i="26"/>
  <c r="CL130" i="26"/>
  <c r="CL131" i="26"/>
  <c r="CL132" i="26"/>
  <c r="CL133" i="26"/>
  <c r="CL134" i="26"/>
  <c r="CL135" i="26"/>
  <c r="CL136" i="26"/>
  <c r="CL137" i="26"/>
  <c r="CL138" i="26"/>
  <c r="CL139" i="26"/>
  <c r="CL140" i="26"/>
  <c r="CL141" i="26"/>
  <c r="CL142" i="26"/>
  <c r="CL143" i="26"/>
  <c r="CL144" i="26"/>
  <c r="CL145" i="26"/>
  <c r="CL146" i="26"/>
  <c r="CL147" i="26"/>
  <c r="CL148" i="26"/>
  <c r="CL149" i="26"/>
  <c r="CL150" i="26"/>
  <c r="CL151" i="26"/>
  <c r="CL152" i="26"/>
  <c r="CL153" i="26"/>
  <c r="CL154" i="26"/>
  <c r="CL155" i="26"/>
  <c r="CL156" i="26"/>
  <c r="CL157" i="26"/>
  <c r="CL158" i="26"/>
  <c r="CL159" i="26"/>
  <c r="CL160" i="26"/>
  <c r="CL161" i="26"/>
  <c r="CL162" i="26"/>
  <c r="CL163" i="26"/>
  <c r="CL164" i="26"/>
  <c r="CL165" i="26"/>
  <c r="CL166" i="26"/>
  <c r="CL167" i="26"/>
  <c r="CL168" i="26"/>
  <c r="CL169" i="26"/>
  <c r="CL170" i="26"/>
  <c r="CL171" i="26"/>
  <c r="CL172" i="26"/>
  <c r="CL173" i="26"/>
  <c r="CL174" i="26"/>
  <c r="CL175" i="26"/>
  <c r="CL176" i="26"/>
  <c r="CL177" i="26"/>
  <c r="CL178" i="26"/>
  <c r="CL179" i="26"/>
  <c r="CL180" i="26"/>
  <c r="CL181" i="26"/>
  <c r="CL182" i="26"/>
  <c r="CL183" i="26"/>
  <c r="CL184" i="26"/>
  <c r="CL185" i="26"/>
  <c r="CL186" i="26"/>
  <c r="CL187" i="26"/>
  <c r="CL188" i="26"/>
  <c r="CL189" i="26"/>
  <c r="CL190" i="26"/>
  <c r="CL191" i="26"/>
  <c r="CL192" i="26"/>
  <c r="CL193" i="26"/>
  <c r="CL194" i="26"/>
  <c r="CL195" i="26"/>
  <c r="CL196" i="26"/>
  <c r="CL197" i="26"/>
  <c r="CL198" i="26"/>
  <c r="CL199" i="26"/>
  <c r="CL200" i="26"/>
  <c r="CL201" i="26"/>
  <c r="CL202" i="26"/>
  <c r="L283" i="26"/>
  <c r="L282" i="26"/>
  <c r="L281" i="26"/>
  <c r="L280" i="26"/>
  <c r="L279" i="26"/>
  <c r="L274" i="26"/>
  <c r="CB7" i="26"/>
  <c r="CB8" i="26"/>
  <c r="CB28" i="26"/>
  <c r="CB32" i="26"/>
  <c r="CB6" i="26"/>
  <c r="CB9" i="26"/>
  <c r="CB10" i="26"/>
  <c r="CB11" i="26"/>
  <c r="CB12" i="26"/>
  <c r="CB13" i="26"/>
  <c r="CB14" i="26"/>
  <c r="CB15" i="26"/>
  <c r="CB16" i="26"/>
  <c r="CB17" i="26"/>
  <c r="CB18" i="26"/>
  <c r="CB19" i="26"/>
  <c r="CB20" i="26"/>
  <c r="CB21" i="26"/>
  <c r="CB22" i="26"/>
  <c r="CB23" i="26"/>
  <c r="CB24" i="26"/>
  <c r="CB25" i="26"/>
  <c r="CB26" i="26"/>
  <c r="CB27" i="26"/>
  <c r="CB29" i="26"/>
  <c r="CB30" i="26"/>
  <c r="CB31" i="26"/>
  <c r="CB33" i="26"/>
  <c r="CB34" i="26"/>
  <c r="CB35" i="26"/>
  <c r="CB36" i="26"/>
  <c r="CB37" i="26"/>
  <c r="CB38" i="26"/>
  <c r="CB39" i="26"/>
  <c r="CB40" i="26"/>
  <c r="CB41" i="26"/>
  <c r="CB42" i="26"/>
  <c r="CB43" i="26"/>
  <c r="CB44" i="26"/>
  <c r="CB45" i="26"/>
  <c r="CB46" i="26"/>
  <c r="CB47" i="26"/>
  <c r="CB48" i="26"/>
  <c r="CB49" i="26"/>
  <c r="CB50" i="26"/>
  <c r="CB51" i="26"/>
  <c r="CB52" i="26"/>
  <c r="CB53" i="26"/>
  <c r="CB54" i="26"/>
  <c r="CB55" i="26"/>
  <c r="CB56" i="26"/>
  <c r="CB57" i="26"/>
  <c r="CB58" i="26"/>
  <c r="CB59" i="26"/>
  <c r="CB60" i="26"/>
  <c r="CB61" i="26"/>
  <c r="CB62" i="26"/>
  <c r="CB63" i="26"/>
  <c r="CB64" i="26"/>
  <c r="CB65" i="26"/>
  <c r="CB66" i="26"/>
  <c r="CB67" i="26"/>
  <c r="CB68" i="26"/>
  <c r="CB69" i="26"/>
  <c r="CB70" i="26"/>
  <c r="CB71" i="26"/>
  <c r="CB72" i="26"/>
  <c r="CB73" i="26"/>
  <c r="CB74" i="26"/>
  <c r="CB75" i="26"/>
  <c r="CB76" i="26"/>
  <c r="CB77" i="26"/>
  <c r="CB78" i="26"/>
  <c r="CB79" i="26"/>
  <c r="CB80" i="26"/>
  <c r="CB81" i="26"/>
  <c r="CB82" i="26"/>
  <c r="CB83" i="26"/>
  <c r="CB84" i="26"/>
  <c r="CB85" i="26"/>
  <c r="CB86" i="26"/>
  <c r="CB87" i="26"/>
  <c r="CB88" i="26"/>
  <c r="CB89" i="26"/>
  <c r="CB90" i="26"/>
  <c r="CB91" i="26"/>
  <c r="CB92" i="26"/>
  <c r="CB93" i="26"/>
  <c r="CB94" i="26"/>
  <c r="CB95" i="26"/>
  <c r="CB96" i="26"/>
  <c r="CB97" i="26"/>
  <c r="CB98" i="26"/>
  <c r="CB99" i="26"/>
  <c r="CB100" i="26"/>
  <c r="CB101" i="26"/>
  <c r="CB102" i="26"/>
  <c r="CB103" i="26"/>
  <c r="CB104" i="26"/>
  <c r="CB105" i="26"/>
  <c r="CB106" i="26"/>
  <c r="CB107" i="26"/>
  <c r="CB108" i="26"/>
  <c r="CB109" i="26"/>
  <c r="CB110" i="26"/>
  <c r="CB111" i="26"/>
  <c r="CB112" i="26"/>
  <c r="CB113" i="26"/>
  <c r="CB114" i="26"/>
  <c r="CB115" i="26"/>
  <c r="CB117" i="26"/>
  <c r="CB118" i="26"/>
  <c r="CB119" i="26"/>
  <c r="CB120" i="26"/>
  <c r="CB121" i="26"/>
  <c r="CB122" i="26"/>
  <c r="CB123" i="26"/>
  <c r="CB124" i="26"/>
  <c r="CB125" i="26"/>
  <c r="CB126" i="26"/>
  <c r="CB127" i="26"/>
  <c r="CB128" i="26"/>
  <c r="CB129" i="26"/>
  <c r="CB130" i="26"/>
  <c r="CB131" i="26"/>
  <c r="CB132" i="26"/>
  <c r="CB133" i="26"/>
  <c r="CB134" i="26"/>
  <c r="CB135" i="26"/>
  <c r="CB136" i="26"/>
  <c r="CB137" i="26"/>
  <c r="CB138" i="26"/>
  <c r="CB139" i="26"/>
  <c r="CB140" i="26"/>
  <c r="CB141" i="26"/>
  <c r="CB142" i="26"/>
  <c r="CB143" i="26"/>
  <c r="CB144" i="26"/>
  <c r="CB145" i="26"/>
  <c r="CB146" i="26"/>
  <c r="CB147" i="26"/>
  <c r="CB148" i="26"/>
  <c r="CB149" i="26"/>
  <c r="CB150" i="26"/>
  <c r="CB151" i="26"/>
  <c r="CB152" i="26"/>
  <c r="CB153" i="26"/>
  <c r="CB154" i="26"/>
  <c r="CB155" i="26"/>
  <c r="CB156" i="26"/>
  <c r="CB157" i="26"/>
  <c r="CB158" i="26"/>
  <c r="CB159" i="26"/>
  <c r="CB160" i="26"/>
  <c r="CB161" i="26"/>
  <c r="CB162" i="26"/>
  <c r="CB163" i="26"/>
  <c r="CB164" i="26"/>
  <c r="CB165" i="26"/>
  <c r="CB166" i="26"/>
  <c r="CB167" i="26"/>
  <c r="CB168" i="26"/>
  <c r="CB169" i="26"/>
  <c r="CB170" i="26"/>
  <c r="CB171" i="26"/>
  <c r="CB172" i="26"/>
  <c r="CB173" i="26"/>
  <c r="CB174" i="26"/>
  <c r="CB175" i="26"/>
  <c r="CB176" i="26"/>
  <c r="CB177" i="26"/>
  <c r="CB178" i="26"/>
  <c r="CB179" i="26"/>
  <c r="CB180" i="26"/>
  <c r="CB181" i="26"/>
  <c r="CB182" i="26"/>
  <c r="CB183" i="26"/>
  <c r="CB184" i="26"/>
  <c r="CB185" i="26"/>
  <c r="CB186" i="26"/>
  <c r="CB187" i="26"/>
  <c r="CB188" i="26"/>
  <c r="CB189" i="26"/>
  <c r="CB190" i="26"/>
  <c r="CB191" i="26"/>
  <c r="CB192" i="26"/>
  <c r="CB193" i="26"/>
  <c r="CB194" i="26"/>
  <c r="CB195" i="26"/>
  <c r="CB196" i="26"/>
  <c r="CB197" i="26"/>
  <c r="CB198" i="26"/>
  <c r="CB199" i="26"/>
  <c r="CB200" i="26"/>
  <c r="CB201" i="26"/>
  <c r="CB202" i="26"/>
  <c r="L273" i="26"/>
  <c r="CA7" i="26"/>
  <c r="CA8" i="26"/>
  <c r="CA28" i="26"/>
  <c r="CA32" i="26"/>
  <c r="CA6" i="26"/>
  <c r="CA9" i="26"/>
  <c r="CA10" i="26"/>
  <c r="CA11" i="26"/>
  <c r="CA12" i="26"/>
  <c r="CA13" i="26"/>
  <c r="CA14" i="26"/>
  <c r="CA15" i="26"/>
  <c r="CA16" i="26"/>
  <c r="CA17" i="26"/>
  <c r="CA18" i="26"/>
  <c r="CA19" i="26"/>
  <c r="CA20" i="26"/>
  <c r="CA21" i="26"/>
  <c r="CA22" i="26"/>
  <c r="CA23" i="26"/>
  <c r="CA24" i="26"/>
  <c r="CA25" i="26"/>
  <c r="CA26" i="26"/>
  <c r="CA27" i="26"/>
  <c r="CA29" i="26"/>
  <c r="CA30" i="26"/>
  <c r="CA31" i="26"/>
  <c r="CA33" i="26"/>
  <c r="CA34" i="26"/>
  <c r="CA35" i="26"/>
  <c r="CA36" i="26"/>
  <c r="CA37" i="26"/>
  <c r="CA38" i="26"/>
  <c r="CA39" i="26"/>
  <c r="CA40" i="26"/>
  <c r="CA41" i="26"/>
  <c r="CA42" i="26"/>
  <c r="CA43" i="26"/>
  <c r="CA44" i="26"/>
  <c r="CA45" i="26"/>
  <c r="CA46" i="26"/>
  <c r="CA47" i="26"/>
  <c r="CA48" i="26"/>
  <c r="CA49" i="26"/>
  <c r="CA50" i="26"/>
  <c r="CA51" i="26"/>
  <c r="CA52" i="26"/>
  <c r="CA53" i="26"/>
  <c r="CA54" i="26"/>
  <c r="CA55" i="26"/>
  <c r="CA56" i="26"/>
  <c r="CA57" i="26"/>
  <c r="CA58" i="26"/>
  <c r="CA59" i="26"/>
  <c r="CA60" i="26"/>
  <c r="CA61" i="26"/>
  <c r="CA62" i="26"/>
  <c r="CA63" i="26"/>
  <c r="CA64" i="26"/>
  <c r="CA65" i="26"/>
  <c r="CA66" i="26"/>
  <c r="CA67" i="26"/>
  <c r="CA68" i="26"/>
  <c r="CA69" i="26"/>
  <c r="CA70" i="26"/>
  <c r="CA71" i="26"/>
  <c r="CA72" i="26"/>
  <c r="CA73" i="26"/>
  <c r="CA74" i="26"/>
  <c r="CA75" i="26"/>
  <c r="CA76" i="26"/>
  <c r="CA77" i="26"/>
  <c r="CA78" i="26"/>
  <c r="CA79" i="26"/>
  <c r="CA80" i="26"/>
  <c r="CA81" i="26"/>
  <c r="CA82" i="26"/>
  <c r="CA83" i="26"/>
  <c r="CA84" i="26"/>
  <c r="CA85" i="26"/>
  <c r="CA86" i="26"/>
  <c r="CA87" i="26"/>
  <c r="CA88" i="26"/>
  <c r="CA89" i="26"/>
  <c r="CA90" i="26"/>
  <c r="CA91" i="26"/>
  <c r="CA92" i="26"/>
  <c r="CA93" i="26"/>
  <c r="CA94" i="26"/>
  <c r="CA95" i="26"/>
  <c r="CA97" i="26"/>
  <c r="CA98" i="26"/>
  <c r="CA99" i="26"/>
  <c r="CA100" i="26"/>
  <c r="CA101" i="26"/>
  <c r="CA102" i="26"/>
  <c r="CA103" i="26"/>
  <c r="CA105" i="26"/>
  <c r="CA106" i="26"/>
  <c r="CA107" i="26"/>
  <c r="CA108" i="26"/>
  <c r="CA109" i="26"/>
  <c r="CA110" i="26"/>
  <c r="CA111" i="26"/>
  <c r="CA112" i="26"/>
  <c r="CA113" i="26"/>
  <c r="CA114" i="26"/>
  <c r="CA115" i="26"/>
  <c r="CA116" i="26"/>
  <c r="CA117" i="26"/>
  <c r="CA118" i="26"/>
  <c r="CA119" i="26"/>
  <c r="CA120" i="26"/>
  <c r="CA121" i="26"/>
  <c r="CA122" i="26"/>
  <c r="CA123" i="26"/>
  <c r="CA124" i="26"/>
  <c r="CA125" i="26"/>
  <c r="CA126" i="26"/>
  <c r="CA127" i="26"/>
  <c r="CA128" i="26"/>
  <c r="CA129" i="26"/>
  <c r="CA130" i="26"/>
  <c r="CA131" i="26"/>
  <c r="CA132" i="26"/>
  <c r="CA133" i="26"/>
  <c r="CA134" i="26"/>
  <c r="CA135" i="26"/>
  <c r="CA136" i="26"/>
  <c r="CA137" i="26"/>
  <c r="CA138" i="26"/>
  <c r="CA139" i="26"/>
  <c r="CA140" i="26"/>
  <c r="CA141" i="26"/>
  <c r="CA142" i="26"/>
  <c r="CA143" i="26"/>
  <c r="CA144" i="26"/>
  <c r="CA145" i="26"/>
  <c r="CA146" i="26"/>
  <c r="CA147" i="26"/>
  <c r="CA148" i="26"/>
  <c r="CA149" i="26"/>
  <c r="CA150" i="26"/>
  <c r="CA151" i="26"/>
  <c r="CA152" i="26"/>
  <c r="CA153" i="26"/>
  <c r="CA154" i="26"/>
  <c r="CA155" i="26"/>
  <c r="CA156" i="26"/>
  <c r="CA157" i="26"/>
  <c r="CA158" i="26"/>
  <c r="CA159" i="26"/>
  <c r="CA160" i="26"/>
  <c r="CA161" i="26"/>
  <c r="CA162" i="26"/>
  <c r="CA163" i="26"/>
  <c r="CA164" i="26"/>
  <c r="CA165" i="26"/>
  <c r="CA166" i="26"/>
  <c r="CA167" i="26"/>
  <c r="CA168" i="26"/>
  <c r="CA169" i="26"/>
  <c r="CA170" i="26"/>
  <c r="CA171" i="26"/>
  <c r="CA172" i="26"/>
  <c r="CA173" i="26"/>
  <c r="CA174" i="26"/>
  <c r="CA175" i="26"/>
  <c r="CA176" i="26"/>
  <c r="CA177" i="26"/>
  <c r="CA178" i="26"/>
  <c r="CA179" i="26"/>
  <c r="CA180" i="26"/>
  <c r="CA181" i="26"/>
  <c r="CA182" i="26"/>
  <c r="CA183" i="26"/>
  <c r="CA184" i="26"/>
  <c r="CA185" i="26"/>
  <c r="CA186" i="26"/>
  <c r="CA187" i="26"/>
  <c r="CA188" i="26"/>
  <c r="CA189" i="26"/>
  <c r="CA190" i="26"/>
  <c r="CA191" i="26"/>
  <c r="CA192" i="26"/>
  <c r="CA193" i="26"/>
  <c r="CA194" i="26"/>
  <c r="CA195" i="26"/>
  <c r="CA196" i="26"/>
  <c r="CA197" i="26"/>
  <c r="CA198" i="26"/>
  <c r="CA199" i="26"/>
  <c r="CA200" i="26"/>
  <c r="CA201" i="26"/>
  <c r="CA202" i="26"/>
  <c r="L272" i="26"/>
  <c r="BY7" i="26"/>
  <c r="BY8" i="26"/>
  <c r="BY28" i="26"/>
  <c r="BY32" i="26"/>
  <c r="BY6" i="26"/>
  <c r="BY9" i="26"/>
  <c r="BY10" i="26"/>
  <c r="BY11" i="26"/>
  <c r="BY12" i="26"/>
  <c r="BY13" i="26"/>
  <c r="BY14" i="26"/>
  <c r="BY15" i="26"/>
  <c r="BY16" i="26"/>
  <c r="BY17" i="26"/>
  <c r="BY18" i="26"/>
  <c r="BY19" i="26"/>
  <c r="BY20" i="26"/>
  <c r="BY21" i="26"/>
  <c r="BY22" i="26"/>
  <c r="BY23" i="26"/>
  <c r="BY24" i="26"/>
  <c r="BY25" i="26"/>
  <c r="BY26" i="26"/>
  <c r="BY27" i="26"/>
  <c r="BY29" i="26"/>
  <c r="BY30" i="26"/>
  <c r="BY31" i="26"/>
  <c r="BY33" i="26"/>
  <c r="BY34" i="26"/>
  <c r="BY35" i="26"/>
  <c r="BY36" i="26"/>
  <c r="BY37" i="26"/>
  <c r="BY38" i="26"/>
  <c r="BY39" i="26"/>
  <c r="BY40" i="26"/>
  <c r="BY41" i="26"/>
  <c r="BY42" i="26"/>
  <c r="BY43" i="26"/>
  <c r="BY44" i="26"/>
  <c r="BY45" i="26"/>
  <c r="BY46" i="26"/>
  <c r="BY47" i="26"/>
  <c r="BY48" i="26"/>
  <c r="BY49" i="26"/>
  <c r="BY50" i="26"/>
  <c r="BY51" i="26"/>
  <c r="BY52" i="26"/>
  <c r="BY53" i="26"/>
  <c r="BY54" i="26"/>
  <c r="BY55" i="26"/>
  <c r="BY56" i="26"/>
  <c r="BY57" i="26"/>
  <c r="BY58" i="26"/>
  <c r="BY59" i="26"/>
  <c r="BY60" i="26"/>
  <c r="BY61" i="26"/>
  <c r="BY62" i="26"/>
  <c r="BY63" i="26"/>
  <c r="BY64" i="26"/>
  <c r="BY65" i="26"/>
  <c r="BY66" i="26"/>
  <c r="BY67" i="26"/>
  <c r="BY68" i="26"/>
  <c r="BY69" i="26"/>
  <c r="BY70" i="26"/>
  <c r="BY71" i="26"/>
  <c r="BY72" i="26"/>
  <c r="BY73" i="26"/>
  <c r="BY74" i="26"/>
  <c r="BY75" i="26"/>
  <c r="BY76" i="26"/>
  <c r="BY77" i="26"/>
  <c r="BY78" i="26"/>
  <c r="BY79" i="26"/>
  <c r="BY80" i="26"/>
  <c r="BY81" i="26"/>
  <c r="BY82" i="26"/>
  <c r="BY83" i="26"/>
  <c r="BY84" i="26"/>
  <c r="BY85" i="26"/>
  <c r="BY86" i="26"/>
  <c r="BY87" i="26"/>
  <c r="BY88" i="26"/>
  <c r="BY89" i="26"/>
  <c r="BY90" i="26"/>
  <c r="BY91" i="26"/>
  <c r="BY92" i="26"/>
  <c r="BY93" i="26"/>
  <c r="BY94" i="26"/>
  <c r="BY95" i="26"/>
  <c r="BY96" i="26"/>
  <c r="BY97" i="26"/>
  <c r="BY98" i="26"/>
  <c r="BY99" i="26"/>
  <c r="BY100" i="26"/>
  <c r="BY101" i="26"/>
  <c r="BY102" i="26"/>
  <c r="BY103" i="26"/>
  <c r="BY104" i="26"/>
  <c r="BY105" i="26"/>
  <c r="BY106" i="26"/>
  <c r="BY107" i="26"/>
  <c r="BY108" i="26"/>
  <c r="BY109" i="26"/>
  <c r="BY110" i="26"/>
  <c r="BY111" i="26"/>
  <c r="BY112" i="26"/>
  <c r="BY113" i="26"/>
  <c r="BY114" i="26"/>
  <c r="BY115" i="26"/>
  <c r="BY117" i="26"/>
  <c r="BY118" i="26"/>
  <c r="BY119" i="26"/>
  <c r="BY120" i="26"/>
  <c r="BY121" i="26"/>
  <c r="BY122" i="26"/>
  <c r="BY123" i="26"/>
  <c r="BY124" i="26"/>
  <c r="BY125" i="26"/>
  <c r="BY126" i="26"/>
  <c r="BY127" i="26"/>
  <c r="BY128" i="26"/>
  <c r="BY129" i="26"/>
  <c r="BY130" i="26"/>
  <c r="BY131" i="26"/>
  <c r="BY132" i="26"/>
  <c r="BY133" i="26"/>
  <c r="BY134" i="26"/>
  <c r="BY135" i="26"/>
  <c r="BY136" i="26"/>
  <c r="BY137" i="26"/>
  <c r="BY138" i="26"/>
  <c r="BY139" i="26"/>
  <c r="BY140" i="26"/>
  <c r="BY141" i="26"/>
  <c r="BY142" i="26"/>
  <c r="BY143" i="26"/>
  <c r="BY144" i="26"/>
  <c r="BY145" i="26"/>
  <c r="BY146" i="26"/>
  <c r="BY147" i="26"/>
  <c r="BY148" i="26"/>
  <c r="BY149" i="26"/>
  <c r="BY150" i="26"/>
  <c r="BY151" i="26"/>
  <c r="BY152" i="26"/>
  <c r="BY153" i="26"/>
  <c r="BY154" i="26"/>
  <c r="BY155" i="26"/>
  <c r="BY156" i="26"/>
  <c r="BY157" i="26"/>
  <c r="BY158" i="26"/>
  <c r="BY159" i="26"/>
  <c r="BY160" i="26"/>
  <c r="BY161" i="26"/>
  <c r="BY162" i="26"/>
  <c r="BY163" i="26"/>
  <c r="BY164" i="26"/>
  <c r="BY165" i="26"/>
  <c r="BY166" i="26"/>
  <c r="BY167" i="26"/>
  <c r="BY168" i="26"/>
  <c r="BY169" i="26"/>
  <c r="BY170" i="26"/>
  <c r="BY171" i="26"/>
  <c r="BY172" i="26"/>
  <c r="BY173" i="26"/>
  <c r="BY174" i="26"/>
  <c r="BY175" i="26"/>
  <c r="BY176" i="26"/>
  <c r="BY177" i="26"/>
  <c r="BY178" i="26"/>
  <c r="BY179" i="26"/>
  <c r="BY180" i="26"/>
  <c r="BY181" i="26"/>
  <c r="BY182" i="26"/>
  <c r="BY183" i="26"/>
  <c r="BY184" i="26"/>
  <c r="BY185" i="26"/>
  <c r="BY186" i="26"/>
  <c r="BY187" i="26"/>
  <c r="BY188" i="26"/>
  <c r="BY189" i="26"/>
  <c r="BY190" i="26"/>
  <c r="BY191" i="26"/>
  <c r="BY192" i="26"/>
  <c r="BY193" i="26"/>
  <c r="BY194" i="26"/>
  <c r="BY195" i="26"/>
  <c r="BY196" i="26"/>
  <c r="BY197" i="26"/>
  <c r="BY198" i="26"/>
  <c r="BY199" i="26"/>
  <c r="BY200" i="26"/>
  <c r="BY201" i="26"/>
  <c r="BY202" i="26"/>
  <c r="L270" i="26"/>
  <c r="L269" i="26"/>
  <c r="BW7" i="26"/>
  <c r="BW8" i="26"/>
  <c r="BW28" i="26"/>
  <c r="BW32" i="26"/>
  <c r="BW6" i="26"/>
  <c r="BW9" i="26"/>
  <c r="BW10" i="26"/>
  <c r="BW11" i="26"/>
  <c r="BW12" i="26"/>
  <c r="BW13" i="26"/>
  <c r="BW14" i="26"/>
  <c r="BW15" i="26"/>
  <c r="BW16" i="26"/>
  <c r="BW17" i="26"/>
  <c r="BW18" i="26"/>
  <c r="BW19" i="26"/>
  <c r="BW20" i="26"/>
  <c r="BW21" i="26"/>
  <c r="BW22" i="26"/>
  <c r="BW23" i="26"/>
  <c r="BW24" i="26"/>
  <c r="BW25" i="26"/>
  <c r="BW26" i="26"/>
  <c r="BW27" i="26"/>
  <c r="BW29" i="26"/>
  <c r="BW30" i="26"/>
  <c r="BW31" i="26"/>
  <c r="BW33" i="26"/>
  <c r="BW34" i="26"/>
  <c r="BW35" i="26"/>
  <c r="BW36" i="26"/>
  <c r="BW37" i="26"/>
  <c r="BW38" i="26"/>
  <c r="BW39" i="26"/>
  <c r="BW40" i="26"/>
  <c r="BW41" i="26"/>
  <c r="BW42" i="26"/>
  <c r="BW43" i="26"/>
  <c r="BW44" i="26"/>
  <c r="BW45" i="26"/>
  <c r="BW46" i="26"/>
  <c r="BW47" i="26"/>
  <c r="BW48" i="26"/>
  <c r="BW49" i="26"/>
  <c r="BW50" i="26"/>
  <c r="BW51" i="26"/>
  <c r="BW52" i="26"/>
  <c r="BW53" i="26"/>
  <c r="BW54" i="26"/>
  <c r="BW55" i="26"/>
  <c r="BW56" i="26"/>
  <c r="BW57" i="26"/>
  <c r="BW58" i="26"/>
  <c r="BW59" i="26"/>
  <c r="BW60" i="26"/>
  <c r="BW61" i="26"/>
  <c r="BW62" i="26"/>
  <c r="BW63" i="26"/>
  <c r="BW64" i="26"/>
  <c r="BW65" i="26"/>
  <c r="BW66" i="26"/>
  <c r="BW67" i="26"/>
  <c r="BW68" i="26"/>
  <c r="BW69" i="26"/>
  <c r="BW71" i="26"/>
  <c r="BW72" i="26"/>
  <c r="BW73" i="26"/>
  <c r="BW74" i="26"/>
  <c r="BW75" i="26"/>
  <c r="BW76" i="26"/>
  <c r="BW77" i="26"/>
  <c r="BW78" i="26"/>
  <c r="BW79" i="26"/>
  <c r="BW80" i="26"/>
  <c r="BW81" i="26"/>
  <c r="BW82" i="26"/>
  <c r="BW83" i="26"/>
  <c r="BW84" i="26"/>
  <c r="BW85" i="26"/>
  <c r="BW86" i="26"/>
  <c r="BW87" i="26"/>
  <c r="BW88" i="26"/>
  <c r="BW89" i="26"/>
  <c r="BW90" i="26"/>
  <c r="BW91" i="26"/>
  <c r="BW92" i="26"/>
  <c r="BW93" i="26"/>
  <c r="BW94" i="26"/>
  <c r="BW95" i="26"/>
  <c r="BW96" i="26"/>
  <c r="BW97" i="26"/>
  <c r="BW98" i="26"/>
  <c r="BW99" i="26"/>
  <c r="BW100" i="26"/>
  <c r="BW101" i="26"/>
  <c r="BW102" i="26"/>
  <c r="BW103" i="26"/>
  <c r="BW104" i="26"/>
  <c r="BW105" i="26"/>
  <c r="BW106" i="26"/>
  <c r="BW107" i="26"/>
  <c r="BW108" i="26"/>
  <c r="BW109" i="26"/>
  <c r="BW110" i="26"/>
  <c r="BW111" i="26"/>
  <c r="BW112" i="26"/>
  <c r="BW113" i="26"/>
  <c r="BW114" i="26"/>
  <c r="BW115" i="26"/>
  <c r="BW116" i="26"/>
  <c r="BW117" i="26"/>
  <c r="BW118" i="26"/>
  <c r="BW119" i="26"/>
  <c r="BW120" i="26"/>
  <c r="BW121" i="26"/>
  <c r="BW122" i="26"/>
  <c r="BW123" i="26"/>
  <c r="BW124" i="26"/>
  <c r="BW125" i="26"/>
  <c r="BW126" i="26"/>
  <c r="BW127" i="26"/>
  <c r="BW128" i="26"/>
  <c r="BW129" i="26"/>
  <c r="BW130" i="26"/>
  <c r="BW131" i="26"/>
  <c r="BW132" i="26"/>
  <c r="BW133" i="26"/>
  <c r="BW134" i="26"/>
  <c r="BW135" i="26"/>
  <c r="BW136" i="26"/>
  <c r="BW137" i="26"/>
  <c r="BW138" i="26"/>
  <c r="BW139" i="26"/>
  <c r="BW140" i="26"/>
  <c r="BW141" i="26"/>
  <c r="BW142" i="26"/>
  <c r="BW143" i="26"/>
  <c r="BW144" i="26"/>
  <c r="BW145" i="26"/>
  <c r="BW146" i="26"/>
  <c r="BW147" i="26"/>
  <c r="BW148" i="26"/>
  <c r="BW149" i="26"/>
  <c r="BW150" i="26"/>
  <c r="BW151" i="26"/>
  <c r="BW152" i="26"/>
  <c r="BW153" i="26"/>
  <c r="BW154" i="26"/>
  <c r="BW155" i="26"/>
  <c r="BW156" i="26"/>
  <c r="BW157" i="26"/>
  <c r="BW158" i="26"/>
  <c r="BW159" i="26"/>
  <c r="BW160" i="26"/>
  <c r="BW161" i="26"/>
  <c r="BW162" i="26"/>
  <c r="BW163" i="26"/>
  <c r="BW164" i="26"/>
  <c r="BW165" i="26"/>
  <c r="BW166" i="26"/>
  <c r="BW167" i="26"/>
  <c r="BW168" i="26"/>
  <c r="BW169" i="26"/>
  <c r="BW170" i="26"/>
  <c r="BW171" i="26"/>
  <c r="BW172" i="26"/>
  <c r="BW173" i="26"/>
  <c r="BW174" i="26"/>
  <c r="BW175" i="26"/>
  <c r="BW176" i="26"/>
  <c r="BW177" i="26"/>
  <c r="BW178" i="26"/>
  <c r="BW179" i="26"/>
  <c r="BW180" i="26"/>
  <c r="BW181" i="26"/>
  <c r="BW182" i="26"/>
  <c r="BW183" i="26"/>
  <c r="BW184" i="26"/>
  <c r="BW185" i="26"/>
  <c r="BW186" i="26"/>
  <c r="BW187" i="26"/>
  <c r="BW188" i="26"/>
  <c r="BW189" i="26"/>
  <c r="BW190" i="26"/>
  <c r="BW191" i="26"/>
  <c r="BW192" i="26"/>
  <c r="BW193" i="26"/>
  <c r="BW194" i="26"/>
  <c r="BW195" i="26"/>
  <c r="BW196" i="26"/>
  <c r="BW197" i="26"/>
  <c r="BW198" i="26"/>
  <c r="BW199" i="26"/>
  <c r="BW200" i="26"/>
  <c r="BW201" i="26"/>
  <c r="BW202" i="26"/>
  <c r="L268" i="26"/>
  <c r="BU7" i="26"/>
  <c r="BU8" i="26"/>
  <c r="BU28" i="26"/>
  <c r="BU32" i="26"/>
  <c r="BU6" i="26"/>
  <c r="BU9" i="26"/>
  <c r="BU10" i="26"/>
  <c r="BU11" i="26"/>
  <c r="BU12" i="26"/>
  <c r="BU13" i="26"/>
  <c r="BU14" i="26"/>
  <c r="BU15" i="26"/>
  <c r="BU16" i="26"/>
  <c r="BU17" i="26"/>
  <c r="BU18" i="26"/>
  <c r="BU19" i="26"/>
  <c r="BU20" i="26"/>
  <c r="BU21" i="26"/>
  <c r="BU22" i="26"/>
  <c r="BU23" i="26"/>
  <c r="BU24" i="26"/>
  <c r="BU25" i="26"/>
  <c r="BU26" i="26"/>
  <c r="BU27" i="26"/>
  <c r="BU29" i="26"/>
  <c r="BU30" i="26"/>
  <c r="BU31" i="26"/>
  <c r="BU33" i="26"/>
  <c r="BU34" i="26"/>
  <c r="BU35" i="26"/>
  <c r="BU36" i="26"/>
  <c r="BU37" i="26"/>
  <c r="BU38" i="26"/>
  <c r="BU39" i="26"/>
  <c r="BU40" i="26"/>
  <c r="BU41" i="26"/>
  <c r="BU42" i="26"/>
  <c r="BU43" i="26"/>
  <c r="BU44" i="26"/>
  <c r="BU45" i="26"/>
  <c r="BU46" i="26"/>
  <c r="BU47" i="26"/>
  <c r="BU48" i="26"/>
  <c r="BU49" i="26"/>
  <c r="BU50" i="26"/>
  <c r="BU51" i="26"/>
  <c r="BU52" i="26"/>
  <c r="BU53" i="26"/>
  <c r="BU54" i="26"/>
  <c r="BU55" i="26"/>
  <c r="BU56" i="26"/>
  <c r="BU57" i="26"/>
  <c r="BU58" i="26"/>
  <c r="BU59" i="26"/>
  <c r="BU60" i="26"/>
  <c r="BU61" i="26"/>
  <c r="BU62" i="26"/>
  <c r="BU63" i="26"/>
  <c r="BU64" i="26"/>
  <c r="BU65" i="26"/>
  <c r="BU66" i="26"/>
  <c r="BU67" i="26"/>
  <c r="BU68" i="26"/>
  <c r="BU69" i="26"/>
  <c r="BU70" i="26"/>
  <c r="BU71" i="26"/>
  <c r="BU72" i="26"/>
  <c r="BU73" i="26"/>
  <c r="BU74" i="26"/>
  <c r="BU75" i="26"/>
  <c r="BU76" i="26"/>
  <c r="BU77" i="26"/>
  <c r="BU78" i="26"/>
  <c r="BU79" i="26"/>
  <c r="BU80" i="26"/>
  <c r="BU81" i="26"/>
  <c r="BU82" i="26"/>
  <c r="BU83" i="26"/>
  <c r="BU84" i="26"/>
  <c r="BU85" i="26"/>
  <c r="BU86" i="26"/>
  <c r="BU87" i="26"/>
  <c r="BU88" i="26"/>
  <c r="BU89" i="26"/>
  <c r="BU90" i="26"/>
  <c r="BU91" i="26"/>
  <c r="BU92" i="26"/>
  <c r="BU93" i="26"/>
  <c r="BU94" i="26"/>
  <c r="BU95" i="26"/>
  <c r="BU96" i="26"/>
  <c r="BU97" i="26"/>
  <c r="BU98" i="26"/>
  <c r="BU99" i="26"/>
  <c r="BU100" i="26"/>
  <c r="BU101" i="26"/>
  <c r="BU102" i="26"/>
  <c r="BU103" i="26"/>
  <c r="BU104" i="26"/>
  <c r="BU105" i="26"/>
  <c r="BU106" i="26"/>
  <c r="BU107" i="26"/>
  <c r="BU108" i="26"/>
  <c r="BU109" i="26"/>
  <c r="BU110" i="26"/>
  <c r="BU111" i="26"/>
  <c r="BU112" i="26"/>
  <c r="BU113" i="26"/>
  <c r="BU114" i="26"/>
  <c r="BU115" i="26"/>
  <c r="BU116" i="26"/>
  <c r="BU117" i="26"/>
  <c r="BU118" i="26"/>
  <c r="BU119" i="26"/>
  <c r="BU120" i="26"/>
  <c r="BU121" i="26"/>
  <c r="BU122" i="26"/>
  <c r="BU123" i="26"/>
  <c r="BU124" i="26"/>
  <c r="BU125" i="26"/>
  <c r="BU126" i="26"/>
  <c r="BU127" i="26"/>
  <c r="BU128" i="26"/>
  <c r="BU129" i="26"/>
  <c r="BU130" i="26"/>
  <c r="BU131" i="26"/>
  <c r="BU132" i="26"/>
  <c r="BU133" i="26"/>
  <c r="BU134" i="26"/>
  <c r="BU135" i="26"/>
  <c r="BU136" i="26"/>
  <c r="BU137" i="26"/>
  <c r="BU138" i="26"/>
  <c r="BU139" i="26"/>
  <c r="BU140" i="26"/>
  <c r="BU141" i="26"/>
  <c r="BU142" i="26"/>
  <c r="BU143" i="26"/>
  <c r="BU144" i="26"/>
  <c r="BU145" i="26"/>
  <c r="BU146" i="26"/>
  <c r="BU148" i="26"/>
  <c r="BU149" i="26"/>
  <c r="BU150" i="26"/>
  <c r="BU151" i="26"/>
  <c r="BU152" i="26"/>
  <c r="BU153" i="26"/>
  <c r="BU154" i="26"/>
  <c r="BU155" i="26"/>
  <c r="BU156" i="26"/>
  <c r="BU157" i="26"/>
  <c r="BU158" i="26"/>
  <c r="BU159" i="26"/>
  <c r="BU160" i="26"/>
  <c r="BU161" i="26"/>
  <c r="BU162" i="26"/>
  <c r="BU163" i="26"/>
  <c r="BU164" i="26"/>
  <c r="BU165" i="26"/>
  <c r="BU166" i="26"/>
  <c r="BU167" i="26"/>
  <c r="BU168" i="26"/>
  <c r="BU169" i="26"/>
  <c r="BU170" i="26"/>
  <c r="BU171" i="26"/>
  <c r="BU172" i="26"/>
  <c r="BU173" i="26"/>
  <c r="BU174" i="26"/>
  <c r="BU175" i="26"/>
  <c r="BU176" i="26"/>
  <c r="BU177" i="26"/>
  <c r="BU178" i="26"/>
  <c r="BU179" i="26"/>
  <c r="BU180" i="26"/>
  <c r="BU181" i="26"/>
  <c r="BU182" i="26"/>
  <c r="BU183" i="26"/>
  <c r="BU184" i="26"/>
  <c r="BU185" i="26"/>
  <c r="BU186" i="26"/>
  <c r="BU187" i="26"/>
  <c r="BU188" i="26"/>
  <c r="BU189" i="26"/>
  <c r="BU190" i="26"/>
  <c r="BU191" i="26"/>
  <c r="BU192" i="26"/>
  <c r="BU193" i="26"/>
  <c r="BU194" i="26"/>
  <c r="BU195" i="26"/>
  <c r="BU196" i="26"/>
  <c r="BU197" i="26"/>
  <c r="BU198" i="26"/>
  <c r="BU199" i="26"/>
  <c r="BU200" i="26"/>
  <c r="BU201" i="26"/>
  <c r="BU202" i="26"/>
  <c r="L266" i="26"/>
  <c r="L265" i="26"/>
  <c r="BS7" i="26"/>
  <c r="BS8" i="26"/>
  <c r="BS28" i="26"/>
  <c r="BS32" i="26"/>
  <c r="BS6" i="26"/>
  <c r="BS9" i="26"/>
  <c r="BS10" i="26"/>
  <c r="BS11" i="26"/>
  <c r="BS12" i="26"/>
  <c r="BS13" i="26"/>
  <c r="BS14" i="26"/>
  <c r="BS15" i="26"/>
  <c r="BS16" i="26"/>
  <c r="BS17" i="26"/>
  <c r="BS18" i="26"/>
  <c r="BS19" i="26"/>
  <c r="BS20" i="26"/>
  <c r="BS21" i="26"/>
  <c r="BS22" i="26"/>
  <c r="BS23" i="26"/>
  <c r="BS24" i="26"/>
  <c r="BS26" i="26"/>
  <c r="BS27" i="26"/>
  <c r="BS29" i="26"/>
  <c r="BS30" i="26"/>
  <c r="BS31" i="26"/>
  <c r="BS34" i="26"/>
  <c r="BS36" i="26"/>
  <c r="BS37" i="26"/>
  <c r="BS38" i="26"/>
  <c r="BS39" i="26"/>
  <c r="BS40" i="26"/>
  <c r="BS41" i="26"/>
  <c r="BS42" i="26"/>
  <c r="BS43" i="26"/>
  <c r="BS44" i="26"/>
  <c r="BS45" i="26"/>
  <c r="BS46" i="26"/>
  <c r="BS47" i="26"/>
  <c r="BS48" i="26"/>
  <c r="BS50" i="26"/>
  <c r="BS51" i="26"/>
  <c r="BS52" i="26"/>
  <c r="BS53" i="26"/>
  <c r="BS54" i="26"/>
  <c r="BS55" i="26"/>
  <c r="BS56" i="26"/>
  <c r="BS57" i="26"/>
  <c r="BS58" i="26"/>
  <c r="BS59" i="26"/>
  <c r="BS60" i="26"/>
  <c r="BS61" i="26"/>
  <c r="BS62" i="26"/>
  <c r="BS63" i="26"/>
  <c r="BS64" i="26"/>
  <c r="BS65" i="26"/>
  <c r="BS66" i="26"/>
  <c r="BS67" i="26"/>
  <c r="BS68" i="26"/>
  <c r="BS69" i="26"/>
  <c r="BS70" i="26"/>
  <c r="BS71" i="26"/>
  <c r="BS72" i="26"/>
  <c r="BS74" i="26"/>
  <c r="BS75" i="26"/>
  <c r="BS77" i="26"/>
  <c r="BS78" i="26"/>
  <c r="BS79" i="26"/>
  <c r="BS82" i="26"/>
  <c r="BS83" i="26"/>
  <c r="BS84" i="26"/>
  <c r="BS85" i="26"/>
  <c r="BS86" i="26"/>
  <c r="BS87" i="26"/>
  <c r="BS88" i="26"/>
  <c r="BS89" i="26"/>
  <c r="BS90" i="26"/>
  <c r="BS91" i="26"/>
  <c r="BS92" i="26"/>
  <c r="BS93" i="26"/>
  <c r="BS94" i="26"/>
  <c r="BS95" i="26"/>
  <c r="BS96" i="26"/>
  <c r="BS97" i="26"/>
  <c r="BS98" i="26"/>
  <c r="BS99" i="26"/>
  <c r="BS100" i="26"/>
  <c r="BS101" i="26"/>
  <c r="BS102" i="26"/>
  <c r="BS103" i="26"/>
  <c r="BS104" i="26"/>
  <c r="BS105" i="26"/>
  <c r="BS107" i="26"/>
  <c r="BS108" i="26"/>
  <c r="BS109" i="26"/>
  <c r="BS110" i="26"/>
  <c r="BS111" i="26"/>
  <c r="BS112" i="26"/>
  <c r="BS113" i="26"/>
  <c r="BS114" i="26"/>
  <c r="BS116" i="26"/>
  <c r="BS117" i="26"/>
  <c r="BS119" i="26"/>
  <c r="BS121" i="26"/>
  <c r="BS122" i="26"/>
  <c r="BS123" i="26"/>
  <c r="BS124" i="26"/>
  <c r="BS125" i="26"/>
  <c r="BS126" i="26"/>
  <c r="BS127" i="26"/>
  <c r="BS128" i="26"/>
  <c r="BS129" i="26"/>
  <c r="BS130" i="26"/>
  <c r="BS131" i="26"/>
  <c r="BS132" i="26"/>
  <c r="BS133" i="26"/>
  <c r="BS136" i="26"/>
  <c r="BS137" i="26"/>
  <c r="BS138" i="26"/>
  <c r="BS139" i="26"/>
  <c r="BS140" i="26"/>
  <c r="BS141" i="26"/>
  <c r="BS142" i="26"/>
  <c r="BS143" i="26"/>
  <c r="BS144" i="26"/>
  <c r="BS145" i="26"/>
  <c r="BS146" i="26"/>
  <c r="BS148" i="26"/>
  <c r="BS149" i="26"/>
  <c r="BS150" i="26"/>
  <c r="BS151" i="26"/>
  <c r="BS152" i="26"/>
  <c r="BS153" i="26"/>
  <c r="BS154" i="26"/>
  <c r="BS155" i="26"/>
  <c r="BS156" i="26"/>
  <c r="BS157" i="26"/>
  <c r="BS158" i="26"/>
  <c r="BS159" i="26"/>
  <c r="BS160" i="26"/>
  <c r="BS162" i="26"/>
  <c r="BS163" i="26"/>
  <c r="BS165" i="26"/>
  <c r="BS166" i="26"/>
  <c r="BS167" i="26"/>
  <c r="BS168" i="26"/>
  <c r="BS169" i="26"/>
  <c r="BS170" i="26"/>
  <c r="BS171" i="26"/>
  <c r="BS172" i="26"/>
  <c r="BS173" i="26"/>
  <c r="BS174" i="26"/>
  <c r="BS175" i="26"/>
  <c r="BS176" i="26"/>
  <c r="BS177" i="26"/>
  <c r="BS178" i="26"/>
  <c r="BS179" i="26"/>
  <c r="BS180" i="26"/>
  <c r="BS181" i="26"/>
  <c r="BS182" i="26"/>
  <c r="BS183" i="26"/>
  <c r="BS185" i="26"/>
  <c r="BS186" i="26"/>
  <c r="BS187" i="26"/>
  <c r="BS188" i="26"/>
  <c r="BS189" i="26"/>
  <c r="BS190" i="26"/>
  <c r="BS191" i="26"/>
  <c r="BS192" i="26"/>
  <c r="BS193" i="26"/>
  <c r="BS194" i="26"/>
  <c r="BS195" i="26"/>
  <c r="BS196" i="26"/>
  <c r="BS197" i="26"/>
  <c r="BS198" i="26"/>
  <c r="BS199" i="26"/>
  <c r="BS200" i="26"/>
  <c r="BS201" i="26"/>
  <c r="BS202" i="26"/>
  <c r="L264" i="26"/>
  <c r="BR7" i="26"/>
  <c r="BR8" i="26"/>
  <c r="BR28" i="26"/>
  <c r="BR32" i="26"/>
  <c r="BR6" i="26"/>
  <c r="BR9" i="26"/>
  <c r="BR10" i="26"/>
  <c r="BR11" i="26"/>
  <c r="BR12" i="26"/>
  <c r="BR13" i="26"/>
  <c r="BR14" i="26"/>
  <c r="BR15" i="26"/>
  <c r="BR16" i="26"/>
  <c r="BR17" i="26"/>
  <c r="BR18" i="26"/>
  <c r="BR19" i="26"/>
  <c r="BR20" i="26"/>
  <c r="BR21" i="26"/>
  <c r="BR22" i="26"/>
  <c r="BR23" i="26"/>
  <c r="BR24" i="26"/>
  <c r="BR25" i="26"/>
  <c r="BR26" i="26"/>
  <c r="BR27" i="26"/>
  <c r="BR29" i="26"/>
  <c r="BR30" i="26"/>
  <c r="BR31" i="26"/>
  <c r="BR33" i="26"/>
  <c r="BR34" i="26"/>
  <c r="BR35" i="26"/>
  <c r="BR36" i="26"/>
  <c r="BR37" i="26"/>
  <c r="BR38" i="26"/>
  <c r="BR39" i="26"/>
  <c r="BR40" i="26"/>
  <c r="BR41" i="26"/>
  <c r="BR42" i="26"/>
  <c r="BR43" i="26"/>
  <c r="BR44" i="26"/>
  <c r="BR45" i="26"/>
  <c r="BR46" i="26"/>
  <c r="BR47" i="26"/>
  <c r="BR48" i="26"/>
  <c r="BR49" i="26"/>
  <c r="BR50" i="26"/>
  <c r="BR51" i="26"/>
  <c r="BR52" i="26"/>
  <c r="BR53" i="26"/>
  <c r="BR54" i="26"/>
  <c r="BR55" i="26"/>
  <c r="BR56" i="26"/>
  <c r="BR57" i="26"/>
  <c r="BR58" i="26"/>
  <c r="BR59" i="26"/>
  <c r="BR60" i="26"/>
  <c r="BR61" i="26"/>
  <c r="BR62" i="26"/>
  <c r="BR63" i="26"/>
  <c r="BR64" i="26"/>
  <c r="BR65" i="26"/>
  <c r="BR66" i="26"/>
  <c r="BR67" i="26"/>
  <c r="BR68" i="26"/>
  <c r="BR69" i="26"/>
  <c r="BR71" i="26"/>
  <c r="BR72" i="26"/>
  <c r="BR73" i="26"/>
  <c r="BR74" i="26"/>
  <c r="BR75" i="26"/>
  <c r="BR76" i="26"/>
  <c r="BR77" i="26"/>
  <c r="BR78" i="26"/>
  <c r="BR79" i="26"/>
  <c r="BR80" i="26"/>
  <c r="BR81" i="26"/>
  <c r="BR82" i="26"/>
  <c r="BR83" i="26"/>
  <c r="BR84" i="26"/>
  <c r="BR85" i="26"/>
  <c r="BR86" i="26"/>
  <c r="BR87" i="26"/>
  <c r="BR88" i="26"/>
  <c r="BR89" i="26"/>
  <c r="BR90" i="26"/>
  <c r="BR91" i="26"/>
  <c r="BR92" i="26"/>
  <c r="BR93" i="26"/>
  <c r="BR94" i="26"/>
  <c r="BR95" i="26"/>
  <c r="BR96" i="26"/>
  <c r="BR97" i="26"/>
  <c r="BR98" i="26"/>
  <c r="BR99" i="26"/>
  <c r="BR100" i="26"/>
  <c r="BR101" i="26"/>
  <c r="BR102" i="26"/>
  <c r="BR103" i="26"/>
  <c r="BR104" i="26"/>
  <c r="BR105" i="26"/>
  <c r="BR106" i="26"/>
  <c r="BR107" i="26"/>
  <c r="BR108" i="26"/>
  <c r="BR109" i="26"/>
  <c r="BR110" i="26"/>
  <c r="BR111" i="26"/>
  <c r="BR112" i="26"/>
  <c r="BR113" i="26"/>
  <c r="BR114" i="26"/>
  <c r="BR115" i="26"/>
  <c r="BR116" i="26"/>
  <c r="BR117" i="26"/>
  <c r="BR118" i="26"/>
  <c r="BR119" i="26"/>
  <c r="BR120" i="26"/>
  <c r="BR121" i="26"/>
  <c r="BR122" i="26"/>
  <c r="BR123" i="26"/>
  <c r="BR124" i="26"/>
  <c r="BR125" i="26"/>
  <c r="BR126" i="26"/>
  <c r="BR127" i="26"/>
  <c r="BR128" i="26"/>
  <c r="BR129" i="26"/>
  <c r="BR130" i="26"/>
  <c r="BR131" i="26"/>
  <c r="BR132" i="26"/>
  <c r="BR133" i="26"/>
  <c r="BR134" i="26"/>
  <c r="BR135" i="26"/>
  <c r="BR136" i="26"/>
  <c r="BR137" i="26"/>
  <c r="BR138" i="26"/>
  <c r="BR139" i="26"/>
  <c r="BR140" i="26"/>
  <c r="BR141" i="26"/>
  <c r="BR142" i="26"/>
  <c r="BR143" i="26"/>
  <c r="BR144" i="26"/>
  <c r="BR145" i="26"/>
  <c r="BR146" i="26"/>
  <c r="BR148" i="26"/>
  <c r="BR149" i="26"/>
  <c r="BR150" i="26"/>
  <c r="BR151" i="26"/>
  <c r="BR152" i="26"/>
  <c r="BR153" i="26"/>
  <c r="BR154" i="26"/>
  <c r="BR155" i="26"/>
  <c r="BR156" i="26"/>
  <c r="BR157" i="26"/>
  <c r="BR158" i="26"/>
  <c r="BR159" i="26"/>
  <c r="BR160" i="26"/>
  <c r="BR161" i="26"/>
  <c r="BR162" i="26"/>
  <c r="BR163" i="26"/>
  <c r="BR164" i="26"/>
  <c r="BR165" i="26"/>
  <c r="BR166" i="26"/>
  <c r="BR167" i="26"/>
  <c r="BR168" i="26"/>
  <c r="BR169" i="26"/>
  <c r="BR170" i="26"/>
  <c r="BR171" i="26"/>
  <c r="BR172" i="26"/>
  <c r="BR173" i="26"/>
  <c r="BR174" i="26"/>
  <c r="BR175" i="26"/>
  <c r="BR176" i="26"/>
  <c r="BR177" i="26"/>
  <c r="BR178" i="26"/>
  <c r="BR179" i="26"/>
  <c r="BR180" i="26"/>
  <c r="BR181" i="26"/>
  <c r="BR182" i="26"/>
  <c r="BR183" i="26"/>
  <c r="BR184" i="26"/>
  <c r="BR185" i="26"/>
  <c r="BR186" i="26"/>
  <c r="BR187" i="26"/>
  <c r="BR188" i="26"/>
  <c r="BR189" i="26"/>
  <c r="BR190" i="26"/>
  <c r="BR191" i="26"/>
  <c r="BR192" i="26"/>
  <c r="BR193" i="26"/>
  <c r="BR194" i="26"/>
  <c r="BR195" i="26"/>
  <c r="BR196" i="26"/>
  <c r="BR197" i="26"/>
  <c r="BR198" i="26"/>
  <c r="BR199" i="26"/>
  <c r="BR200" i="26"/>
  <c r="BR201" i="26"/>
  <c r="BR202" i="26"/>
  <c r="L263" i="26"/>
  <c r="L262" i="26"/>
  <c r="BO7" i="26"/>
  <c r="BO8" i="26"/>
  <c r="BO28" i="26"/>
  <c r="BO32" i="26"/>
  <c r="BO6" i="26"/>
  <c r="BO9" i="26"/>
  <c r="BO10" i="26"/>
  <c r="BO11" i="26"/>
  <c r="BO12" i="26"/>
  <c r="BO13" i="26"/>
  <c r="BO14" i="26"/>
  <c r="BO15" i="26"/>
  <c r="BO16" i="26"/>
  <c r="BO17" i="26"/>
  <c r="BO18" i="26"/>
  <c r="BO19" i="26"/>
  <c r="BO20" i="26"/>
  <c r="BO21" i="26"/>
  <c r="BO22" i="26"/>
  <c r="BO23" i="26"/>
  <c r="BO24" i="26"/>
  <c r="BO25" i="26"/>
  <c r="BO26" i="26"/>
  <c r="BO27" i="26"/>
  <c r="BO29" i="26"/>
  <c r="BO30" i="26"/>
  <c r="BO31" i="26"/>
  <c r="BO33" i="26"/>
  <c r="BO34" i="26"/>
  <c r="BO35" i="26"/>
  <c r="BO36" i="26"/>
  <c r="BO37" i="26"/>
  <c r="BO38" i="26"/>
  <c r="BO39" i="26"/>
  <c r="BO40" i="26"/>
  <c r="BO41" i="26"/>
  <c r="BO42" i="26"/>
  <c r="BO43" i="26"/>
  <c r="BO44" i="26"/>
  <c r="BO45" i="26"/>
  <c r="BO46" i="26"/>
  <c r="BO47" i="26"/>
  <c r="BO48" i="26"/>
  <c r="BO49" i="26"/>
  <c r="BO50" i="26"/>
  <c r="BO51" i="26"/>
  <c r="BO52" i="26"/>
  <c r="BO53" i="26"/>
  <c r="BO54" i="26"/>
  <c r="BO55" i="26"/>
  <c r="BO56" i="26"/>
  <c r="BO57" i="26"/>
  <c r="BO58" i="26"/>
  <c r="BO59" i="26"/>
  <c r="BO60" i="26"/>
  <c r="BO61" i="26"/>
  <c r="BO62" i="26"/>
  <c r="BO63" i="26"/>
  <c r="BO64" i="26"/>
  <c r="BO65" i="26"/>
  <c r="BO66" i="26"/>
  <c r="BO67" i="26"/>
  <c r="BO68" i="26"/>
  <c r="BO69" i="26"/>
  <c r="BO70" i="26"/>
  <c r="BO71" i="26"/>
  <c r="BO72" i="26"/>
  <c r="BO73" i="26"/>
  <c r="BO74" i="26"/>
  <c r="BO75" i="26"/>
  <c r="BO76" i="26"/>
  <c r="BO78" i="26"/>
  <c r="BO79" i="26"/>
  <c r="BO80" i="26"/>
  <c r="BO81" i="26"/>
  <c r="BO82" i="26"/>
  <c r="BO83" i="26"/>
  <c r="BO84" i="26"/>
  <c r="BO85" i="26"/>
  <c r="BO86" i="26"/>
  <c r="BO87" i="26"/>
  <c r="BO88" i="26"/>
  <c r="BO89" i="26"/>
  <c r="BO90" i="26"/>
  <c r="BO91" i="26"/>
  <c r="BO92" i="26"/>
  <c r="BO93" i="26"/>
  <c r="BO94" i="26"/>
  <c r="BO95" i="26"/>
  <c r="BO96" i="26"/>
  <c r="BO97" i="26"/>
  <c r="BO98" i="26"/>
  <c r="BO99" i="26"/>
  <c r="BO100" i="26"/>
  <c r="BO101" i="26"/>
  <c r="BO102" i="26"/>
  <c r="BO103" i="26"/>
  <c r="BO104" i="26"/>
  <c r="BO105" i="26"/>
  <c r="BO106" i="26"/>
  <c r="BO107" i="26"/>
  <c r="BO108" i="26"/>
  <c r="BO109" i="26"/>
  <c r="BO110" i="26"/>
  <c r="BO111" i="26"/>
  <c r="BO112" i="26"/>
  <c r="BO113" i="26"/>
  <c r="BO114" i="26"/>
  <c r="BO115" i="26"/>
  <c r="BO116" i="26"/>
  <c r="BO117" i="26"/>
  <c r="BO118" i="26"/>
  <c r="BO119" i="26"/>
  <c r="BO120" i="26"/>
  <c r="BO121" i="26"/>
  <c r="BO122" i="26"/>
  <c r="BO123" i="26"/>
  <c r="BO124" i="26"/>
  <c r="BO125" i="26"/>
  <c r="BO126" i="26"/>
  <c r="BO127" i="26"/>
  <c r="BO128" i="26"/>
  <c r="BO129" i="26"/>
  <c r="BO130" i="26"/>
  <c r="BO131" i="26"/>
  <c r="BO132" i="26"/>
  <c r="BO133" i="26"/>
  <c r="BO134" i="26"/>
  <c r="BO135" i="26"/>
  <c r="BO136" i="26"/>
  <c r="BO137" i="26"/>
  <c r="BO138" i="26"/>
  <c r="BO139" i="26"/>
  <c r="BO140" i="26"/>
  <c r="BO141" i="26"/>
  <c r="BO142" i="26"/>
  <c r="BO143" i="26"/>
  <c r="BO144" i="26"/>
  <c r="BO145" i="26"/>
  <c r="BO146" i="26"/>
  <c r="BO148" i="26"/>
  <c r="BO149" i="26"/>
  <c r="BO150" i="26"/>
  <c r="BO151" i="26"/>
  <c r="BO152" i="26"/>
  <c r="BO153" i="26"/>
  <c r="BO154" i="26"/>
  <c r="BO155" i="26"/>
  <c r="BO156" i="26"/>
  <c r="BO157" i="26"/>
  <c r="BO158" i="26"/>
  <c r="BO159" i="26"/>
  <c r="BO160" i="26"/>
  <c r="BO161" i="26"/>
  <c r="BO162" i="26"/>
  <c r="BO163" i="26"/>
  <c r="BO164" i="26"/>
  <c r="BO165" i="26"/>
  <c r="BO166" i="26"/>
  <c r="BO167" i="26"/>
  <c r="BO168" i="26"/>
  <c r="BO169" i="26"/>
  <c r="BO170" i="26"/>
  <c r="BO171" i="26"/>
  <c r="BO172" i="26"/>
  <c r="BO173" i="26"/>
  <c r="BO174" i="26"/>
  <c r="BO175" i="26"/>
  <c r="BO176" i="26"/>
  <c r="BO177" i="26"/>
  <c r="BO178" i="26"/>
  <c r="BO179" i="26"/>
  <c r="BO180" i="26"/>
  <c r="BO181" i="26"/>
  <c r="BO182" i="26"/>
  <c r="BO183" i="26"/>
  <c r="BO184" i="26"/>
  <c r="BO185" i="26"/>
  <c r="BO186" i="26"/>
  <c r="BO187" i="26"/>
  <c r="BO188" i="26"/>
  <c r="BO189" i="26"/>
  <c r="BO190" i="26"/>
  <c r="BO191" i="26"/>
  <c r="BO192" i="26"/>
  <c r="BO193" i="26"/>
  <c r="BO194" i="26"/>
  <c r="BO195" i="26"/>
  <c r="BO196" i="26"/>
  <c r="BO197" i="26"/>
  <c r="BO198" i="26"/>
  <c r="BO199" i="26"/>
  <c r="BO200" i="26"/>
  <c r="BO201" i="26"/>
  <c r="BO202" i="26"/>
  <c r="L261" i="26"/>
  <c r="BN7" i="26"/>
  <c r="BN8" i="26"/>
  <c r="BN28" i="26"/>
  <c r="BN32" i="26"/>
  <c r="BN6" i="26"/>
  <c r="BN9" i="26"/>
  <c r="BN10" i="26"/>
  <c r="BN11" i="26"/>
  <c r="BN12" i="26"/>
  <c r="BN13" i="26"/>
  <c r="BN14" i="26"/>
  <c r="BN15" i="26"/>
  <c r="BN16" i="26"/>
  <c r="BN17" i="26"/>
  <c r="BN18" i="26"/>
  <c r="BN19" i="26"/>
  <c r="BN20" i="26"/>
  <c r="BN21" i="26"/>
  <c r="BN22" i="26"/>
  <c r="BN23" i="26"/>
  <c r="BN24" i="26"/>
  <c r="BN25" i="26"/>
  <c r="BN26" i="26"/>
  <c r="BN27" i="26"/>
  <c r="BN29" i="26"/>
  <c r="BN30" i="26"/>
  <c r="BN31" i="26"/>
  <c r="BN33" i="26"/>
  <c r="BN34" i="26"/>
  <c r="BN35" i="26"/>
  <c r="BN36" i="26"/>
  <c r="BN37" i="26"/>
  <c r="BN38" i="26"/>
  <c r="BN39" i="26"/>
  <c r="BN40" i="26"/>
  <c r="BN41" i="26"/>
  <c r="BN42" i="26"/>
  <c r="BN43" i="26"/>
  <c r="BN44" i="26"/>
  <c r="BN45" i="26"/>
  <c r="BN46" i="26"/>
  <c r="BN47" i="26"/>
  <c r="BN48" i="26"/>
  <c r="BN49" i="26"/>
  <c r="BN50" i="26"/>
  <c r="BN51" i="26"/>
  <c r="BN53" i="26"/>
  <c r="BN54" i="26"/>
  <c r="BN55" i="26"/>
  <c r="BN56" i="26"/>
  <c r="BN57" i="26"/>
  <c r="BN58" i="26"/>
  <c r="BN59" i="26"/>
  <c r="BN60" i="26"/>
  <c r="BN61" i="26"/>
  <c r="BN62" i="26"/>
  <c r="BN63" i="26"/>
  <c r="BN64" i="26"/>
  <c r="BN65" i="26"/>
  <c r="BN66" i="26"/>
  <c r="BN67" i="26"/>
  <c r="BN68" i="26"/>
  <c r="BN69" i="26"/>
  <c r="BN70" i="26"/>
  <c r="BN71" i="26"/>
  <c r="BN72" i="26"/>
  <c r="BN73" i="26"/>
  <c r="BN74" i="26"/>
  <c r="BN75" i="26"/>
  <c r="BN76" i="26"/>
  <c r="BN77" i="26"/>
  <c r="BN78" i="26"/>
  <c r="BN79" i="26"/>
  <c r="BN80" i="26"/>
  <c r="BN81" i="26"/>
  <c r="BN82" i="26"/>
  <c r="BN83" i="26"/>
  <c r="BN84" i="26"/>
  <c r="BN85" i="26"/>
  <c r="BN86" i="26"/>
  <c r="BN87" i="26"/>
  <c r="BN88" i="26"/>
  <c r="BN89" i="26"/>
  <c r="BN90" i="26"/>
  <c r="BN91" i="26"/>
  <c r="BN92" i="26"/>
  <c r="BN93" i="26"/>
  <c r="BN94" i="26"/>
  <c r="BN95" i="26"/>
  <c r="BN96" i="26"/>
  <c r="BN97" i="26"/>
  <c r="BN98" i="26"/>
  <c r="BN99" i="26"/>
  <c r="BN100" i="26"/>
  <c r="BN101" i="26"/>
  <c r="BN102" i="26"/>
  <c r="BN103" i="26"/>
  <c r="BN104" i="26"/>
  <c r="BN105" i="26"/>
  <c r="BN106" i="26"/>
  <c r="BN107" i="26"/>
  <c r="BN108" i="26"/>
  <c r="BN109" i="26"/>
  <c r="BN110" i="26"/>
  <c r="BN111" i="26"/>
  <c r="BN112" i="26"/>
  <c r="BN113" i="26"/>
  <c r="BN114" i="26"/>
  <c r="BN115" i="26"/>
  <c r="BN116" i="26"/>
  <c r="BN117" i="26"/>
  <c r="BN118" i="26"/>
  <c r="BN119" i="26"/>
  <c r="BN120" i="26"/>
  <c r="BN121" i="26"/>
  <c r="BN122" i="26"/>
  <c r="BN123" i="26"/>
  <c r="BN124" i="26"/>
  <c r="BN125" i="26"/>
  <c r="BN126" i="26"/>
  <c r="BN127" i="26"/>
  <c r="BN128" i="26"/>
  <c r="BN129" i="26"/>
  <c r="BN130" i="26"/>
  <c r="BN131" i="26"/>
  <c r="BN132" i="26"/>
  <c r="BN133" i="26"/>
  <c r="BN134" i="26"/>
  <c r="BN135" i="26"/>
  <c r="BN136" i="26"/>
  <c r="BN137" i="26"/>
  <c r="BN138" i="26"/>
  <c r="BN139" i="26"/>
  <c r="BN140" i="26"/>
  <c r="BN141" i="26"/>
  <c r="BN142" i="26"/>
  <c r="BN143" i="26"/>
  <c r="BN144" i="26"/>
  <c r="BN145" i="26"/>
  <c r="BN146" i="26"/>
  <c r="BN148" i="26"/>
  <c r="BN149" i="26"/>
  <c r="BN150" i="26"/>
  <c r="BN151" i="26"/>
  <c r="BN152" i="26"/>
  <c r="BN153" i="26"/>
  <c r="BN154" i="26"/>
  <c r="BN155" i="26"/>
  <c r="BN156" i="26"/>
  <c r="BN157" i="26"/>
  <c r="BN158" i="26"/>
  <c r="BN159" i="26"/>
  <c r="BN160" i="26"/>
  <c r="BN161" i="26"/>
  <c r="BN162" i="26"/>
  <c r="BN163" i="26"/>
  <c r="BN164" i="26"/>
  <c r="BN165" i="26"/>
  <c r="BN166" i="26"/>
  <c r="BN167" i="26"/>
  <c r="BN168" i="26"/>
  <c r="BN169" i="26"/>
  <c r="BN170" i="26"/>
  <c r="BN171" i="26"/>
  <c r="BN172" i="26"/>
  <c r="BN173" i="26"/>
  <c r="BN174" i="26"/>
  <c r="BN175" i="26"/>
  <c r="BN176" i="26"/>
  <c r="BN177" i="26"/>
  <c r="BN178" i="26"/>
  <c r="BN179" i="26"/>
  <c r="BN180" i="26"/>
  <c r="BN181" i="26"/>
  <c r="BN182" i="26"/>
  <c r="BN183" i="26"/>
  <c r="BN184" i="26"/>
  <c r="BN185" i="26"/>
  <c r="BN186" i="26"/>
  <c r="BN187" i="26"/>
  <c r="BN188" i="26"/>
  <c r="BN189" i="26"/>
  <c r="BN190" i="26"/>
  <c r="BN191" i="26"/>
  <c r="BN192" i="26"/>
  <c r="BN193" i="26"/>
  <c r="BN194" i="26"/>
  <c r="BN195" i="26"/>
  <c r="BN196" i="26"/>
  <c r="BN197" i="26"/>
  <c r="BN198" i="26"/>
  <c r="BN199" i="26"/>
  <c r="BN200" i="26"/>
  <c r="BN201" i="26"/>
  <c r="BN202" i="26"/>
  <c r="L260" i="26"/>
  <c r="L259" i="26"/>
  <c r="L258" i="26"/>
  <c r="BG8" i="26"/>
  <c r="BG28" i="26"/>
  <c r="BG32" i="26"/>
  <c r="BG50" i="26"/>
  <c r="BG6" i="26"/>
  <c r="BG9" i="26"/>
  <c r="BG10" i="26"/>
  <c r="BG11" i="26"/>
  <c r="BG12" i="26"/>
  <c r="BG13" i="26"/>
  <c r="BG14" i="26"/>
  <c r="BG15" i="26"/>
  <c r="BG16" i="26"/>
  <c r="BG17" i="26"/>
  <c r="BG18" i="26"/>
  <c r="BG19" i="26"/>
  <c r="BG20" i="26"/>
  <c r="BG21" i="26"/>
  <c r="BG22" i="26"/>
  <c r="BG23" i="26"/>
  <c r="BG24" i="26"/>
  <c r="BG25" i="26"/>
  <c r="BG26" i="26"/>
  <c r="BG27" i="26"/>
  <c r="BG29" i="26"/>
  <c r="BG30" i="26"/>
  <c r="BG31" i="26"/>
  <c r="BG33" i="26"/>
  <c r="BG34" i="26"/>
  <c r="BG35" i="26"/>
  <c r="BG36" i="26"/>
  <c r="BG37" i="26"/>
  <c r="BG38" i="26"/>
  <c r="BG39" i="26"/>
  <c r="BG40" i="26"/>
  <c r="BG41" i="26"/>
  <c r="BG42" i="26"/>
  <c r="BG43" i="26"/>
  <c r="BG44" i="26"/>
  <c r="BG45" i="26"/>
  <c r="BG46" i="26"/>
  <c r="BG47" i="26"/>
  <c r="BG48" i="26"/>
  <c r="BG49" i="26"/>
  <c r="BG51" i="26"/>
  <c r="BG53" i="26"/>
  <c r="BG54" i="26"/>
  <c r="BG55" i="26"/>
  <c r="BG56" i="26"/>
  <c r="BG57" i="26"/>
  <c r="BG58" i="26"/>
  <c r="BG59" i="26"/>
  <c r="BG60" i="26"/>
  <c r="BG61" i="26"/>
  <c r="BG62" i="26"/>
  <c r="BG63" i="26"/>
  <c r="BG64" i="26"/>
  <c r="BG65" i="26"/>
  <c r="BG66" i="26"/>
  <c r="BG67" i="26"/>
  <c r="BG68" i="26"/>
  <c r="BG69" i="26"/>
  <c r="BG70" i="26"/>
  <c r="BG71" i="26"/>
  <c r="BG72" i="26"/>
  <c r="BG73" i="26"/>
  <c r="BG74" i="26"/>
  <c r="BG75" i="26"/>
  <c r="BG76" i="26"/>
  <c r="BG77" i="26"/>
  <c r="BG78" i="26"/>
  <c r="BG79" i="26"/>
  <c r="BG80" i="26"/>
  <c r="BG81" i="26"/>
  <c r="BG82" i="26"/>
  <c r="BG83" i="26"/>
  <c r="BG84" i="26"/>
  <c r="BG85" i="26"/>
  <c r="BG86" i="26"/>
  <c r="BG87" i="26"/>
  <c r="BG88" i="26"/>
  <c r="BG89" i="26"/>
  <c r="BG90" i="26"/>
  <c r="BG91" i="26"/>
  <c r="BG92" i="26"/>
  <c r="BG93" i="26"/>
  <c r="BG94" i="26"/>
  <c r="BG95" i="26"/>
  <c r="BG96" i="26"/>
  <c r="BG97" i="26"/>
  <c r="BG98" i="26"/>
  <c r="BG99" i="26"/>
  <c r="BG100" i="26"/>
  <c r="BG101" i="26"/>
  <c r="BG102" i="26"/>
  <c r="BG103" i="26"/>
  <c r="BG104" i="26"/>
  <c r="BG105" i="26"/>
  <c r="BG106" i="26"/>
  <c r="BG107" i="26"/>
  <c r="BG108" i="26"/>
  <c r="BG109" i="26"/>
  <c r="BG110" i="26"/>
  <c r="BG111" i="26"/>
  <c r="BG112" i="26"/>
  <c r="BG113" i="26"/>
  <c r="BG114" i="26"/>
  <c r="BG115" i="26"/>
  <c r="BG116" i="26"/>
  <c r="BG117" i="26"/>
  <c r="BG118" i="26"/>
  <c r="BG119" i="26"/>
  <c r="BG120" i="26"/>
  <c r="BG121" i="26"/>
  <c r="BG122" i="26"/>
  <c r="BG123" i="26"/>
  <c r="BG124" i="26"/>
  <c r="BG125" i="26"/>
  <c r="BG126" i="26"/>
  <c r="BG127" i="26"/>
  <c r="BG128" i="26"/>
  <c r="BG129" i="26"/>
  <c r="BG130" i="26"/>
  <c r="BG131" i="26"/>
  <c r="BG132" i="26"/>
  <c r="BG133" i="26"/>
  <c r="BG134" i="26"/>
  <c r="BG135" i="26"/>
  <c r="BG136" i="26"/>
  <c r="BG137" i="26"/>
  <c r="BG138" i="26"/>
  <c r="BG139" i="26"/>
  <c r="BG140" i="26"/>
  <c r="BG141" i="26"/>
  <c r="BG142" i="26"/>
  <c r="BG143" i="26"/>
  <c r="BG144" i="26"/>
  <c r="BG145" i="26"/>
  <c r="BG146" i="26"/>
  <c r="BG148" i="26"/>
  <c r="BG149" i="26"/>
  <c r="BG150" i="26"/>
  <c r="BG151" i="26"/>
  <c r="BG152" i="26"/>
  <c r="BG153" i="26"/>
  <c r="BG154" i="26"/>
  <c r="BG155" i="26"/>
  <c r="BG156" i="26"/>
  <c r="BG157" i="26"/>
  <c r="BG158" i="26"/>
  <c r="BG159" i="26"/>
  <c r="BG160" i="26"/>
  <c r="BG161" i="26"/>
  <c r="BG162" i="26"/>
  <c r="BG163" i="26"/>
  <c r="BG164" i="26"/>
  <c r="BG165" i="26"/>
  <c r="BG166" i="26"/>
  <c r="BG167" i="26"/>
  <c r="BG168" i="26"/>
  <c r="BG169" i="26"/>
  <c r="BG170" i="26"/>
  <c r="BG171" i="26"/>
  <c r="BG172" i="26"/>
  <c r="BG173" i="26"/>
  <c r="BG174" i="26"/>
  <c r="BG175" i="26"/>
  <c r="BG176" i="26"/>
  <c r="BG177" i="26"/>
  <c r="BG178" i="26"/>
  <c r="BG179" i="26"/>
  <c r="BG180" i="26"/>
  <c r="BG181" i="26"/>
  <c r="BG182" i="26"/>
  <c r="BG183" i="26"/>
  <c r="BG184" i="26"/>
  <c r="BG185" i="26"/>
  <c r="BG186" i="26"/>
  <c r="BG187" i="26"/>
  <c r="BG188" i="26"/>
  <c r="BG189" i="26"/>
  <c r="BG190" i="26"/>
  <c r="BG191" i="26"/>
  <c r="BG192" i="26"/>
  <c r="BG193" i="26"/>
  <c r="BG194" i="26"/>
  <c r="BG195" i="26"/>
  <c r="BG196" i="26"/>
  <c r="BG197" i="26"/>
  <c r="BG198" i="26"/>
  <c r="BG199" i="26"/>
  <c r="BG200" i="26"/>
  <c r="BG201" i="26"/>
  <c r="BG202" i="26"/>
  <c r="L257" i="26"/>
  <c r="L256" i="26"/>
  <c r="L255" i="26"/>
  <c r="L254" i="26"/>
  <c r="L253" i="26"/>
  <c r="L248" i="26"/>
  <c r="AP7" i="26"/>
  <c r="AP8" i="26"/>
  <c r="AP28" i="26"/>
  <c r="AP32" i="26"/>
  <c r="AP6" i="26"/>
  <c r="AP9" i="26"/>
  <c r="AP10" i="26"/>
  <c r="AP11" i="26"/>
  <c r="AP12" i="26"/>
  <c r="AP13" i="26"/>
  <c r="AP14" i="26"/>
  <c r="AP15" i="26"/>
  <c r="AP16" i="26"/>
  <c r="AP17" i="26"/>
  <c r="AP18" i="26"/>
  <c r="AP19" i="26"/>
  <c r="AP20" i="26"/>
  <c r="AP21" i="26"/>
  <c r="AP22" i="26"/>
  <c r="AP23" i="26"/>
  <c r="AP24" i="26"/>
  <c r="AP25" i="26"/>
  <c r="AP26" i="26"/>
  <c r="AP27" i="26"/>
  <c r="AP29" i="26"/>
  <c r="AP30" i="26"/>
  <c r="AP31" i="26"/>
  <c r="AP33" i="26"/>
  <c r="AP34" i="26"/>
  <c r="AP35" i="26"/>
  <c r="AP36" i="26"/>
  <c r="AP37" i="26"/>
  <c r="AP38" i="26"/>
  <c r="AP39" i="26"/>
  <c r="AP40" i="26"/>
  <c r="AP41" i="26"/>
  <c r="AP42" i="26"/>
  <c r="AP43" i="26"/>
  <c r="AP44" i="26"/>
  <c r="AP45" i="26"/>
  <c r="AP46" i="26"/>
  <c r="AP47" i="26"/>
  <c r="AP48" i="26"/>
  <c r="AP49" i="26"/>
  <c r="AP50" i="26"/>
  <c r="AP51" i="26"/>
  <c r="AP52" i="26"/>
  <c r="AP53" i="26"/>
  <c r="AP54" i="26"/>
  <c r="AP55" i="26"/>
  <c r="AP56" i="26"/>
  <c r="AP57" i="26"/>
  <c r="AP58" i="26"/>
  <c r="AP59" i="26"/>
  <c r="AP60" i="26"/>
  <c r="AP61" i="26"/>
  <c r="AP62" i="26"/>
  <c r="AP63" i="26"/>
  <c r="AP64" i="26"/>
  <c r="AP65" i="26"/>
  <c r="AP66" i="26"/>
  <c r="AP67" i="26"/>
  <c r="AP68" i="26"/>
  <c r="AP69" i="26"/>
  <c r="AP71" i="26"/>
  <c r="AP72" i="26"/>
  <c r="AP73" i="26"/>
  <c r="AP74" i="26"/>
  <c r="AP75" i="26"/>
  <c r="AP76" i="26"/>
  <c r="AP77" i="26"/>
  <c r="AP78" i="26"/>
  <c r="AP79" i="26"/>
  <c r="AP80" i="26"/>
  <c r="AP81" i="26"/>
  <c r="AP82" i="26"/>
  <c r="AP83" i="26"/>
  <c r="AP84" i="26"/>
  <c r="AP85" i="26"/>
  <c r="AP86" i="26"/>
  <c r="AP87" i="26"/>
  <c r="AP88" i="26"/>
  <c r="AP89" i="26"/>
  <c r="AP90" i="26"/>
  <c r="AP91" i="26"/>
  <c r="AP92" i="26"/>
  <c r="AP93" i="26"/>
  <c r="AP94" i="26"/>
  <c r="AP95" i="26"/>
  <c r="AP96" i="26"/>
  <c r="AP97" i="26"/>
  <c r="AP98" i="26"/>
  <c r="AP99" i="26"/>
  <c r="AP100" i="26"/>
  <c r="AP101" i="26"/>
  <c r="AP102" i="26"/>
  <c r="AP103" i="26"/>
  <c r="AP104" i="26"/>
  <c r="AP105" i="26"/>
  <c r="AP106" i="26"/>
  <c r="AP107" i="26"/>
  <c r="AP108" i="26"/>
  <c r="AP109" i="26"/>
  <c r="AP110" i="26"/>
  <c r="AP111" i="26"/>
  <c r="AP112" i="26"/>
  <c r="AP113" i="26"/>
  <c r="AP114" i="26"/>
  <c r="AP115" i="26"/>
  <c r="AP116" i="26"/>
  <c r="AP117" i="26"/>
  <c r="AP118" i="26"/>
  <c r="AP119" i="26"/>
  <c r="AP120" i="26"/>
  <c r="AP121" i="26"/>
  <c r="AP122" i="26"/>
  <c r="AP123" i="26"/>
  <c r="AP124" i="26"/>
  <c r="AP125" i="26"/>
  <c r="AP126" i="26"/>
  <c r="AP127" i="26"/>
  <c r="AP128" i="26"/>
  <c r="AP129" i="26"/>
  <c r="AP130" i="26"/>
  <c r="AP131" i="26"/>
  <c r="AP132" i="26"/>
  <c r="AP133" i="26"/>
  <c r="AP134" i="26"/>
  <c r="AP135" i="26"/>
  <c r="AP136" i="26"/>
  <c r="AP137" i="26"/>
  <c r="AP138" i="26"/>
  <c r="AP139" i="26"/>
  <c r="AP140" i="26"/>
  <c r="AP141" i="26"/>
  <c r="AP142" i="26"/>
  <c r="AP143" i="26"/>
  <c r="AP144" i="26"/>
  <c r="AP145" i="26"/>
  <c r="AP146" i="26"/>
  <c r="AP147" i="26"/>
  <c r="AP148" i="26"/>
  <c r="AP149" i="26"/>
  <c r="AP150" i="26"/>
  <c r="AP151" i="26"/>
  <c r="AP152" i="26"/>
  <c r="AP153" i="26"/>
  <c r="AP154" i="26"/>
  <c r="AP155" i="26"/>
  <c r="AP156" i="26"/>
  <c r="AP157" i="26"/>
  <c r="AP158" i="26"/>
  <c r="AP159" i="26"/>
  <c r="AP160" i="26"/>
  <c r="AP161" i="26"/>
  <c r="AP162" i="26"/>
  <c r="AP163" i="26"/>
  <c r="AP164" i="26"/>
  <c r="AP165" i="26"/>
  <c r="AP166" i="26"/>
  <c r="AP167" i="26"/>
  <c r="AP168" i="26"/>
  <c r="AP169" i="26"/>
  <c r="AP170" i="26"/>
  <c r="AP171" i="26"/>
  <c r="AP172" i="26"/>
  <c r="AP173" i="26"/>
  <c r="AP174" i="26"/>
  <c r="AP175" i="26"/>
  <c r="AP176" i="26"/>
  <c r="AP177" i="26"/>
  <c r="AP178" i="26"/>
  <c r="AP179" i="26"/>
  <c r="AP180" i="26"/>
  <c r="AP181" i="26"/>
  <c r="AP182" i="26"/>
  <c r="AP183" i="26"/>
  <c r="AP184" i="26"/>
  <c r="AP185" i="26"/>
  <c r="AP186" i="26"/>
  <c r="AP187" i="26"/>
  <c r="AP188" i="26"/>
  <c r="AP189" i="26"/>
  <c r="AP190" i="26"/>
  <c r="AP191" i="26"/>
  <c r="AP192" i="26"/>
  <c r="AP193" i="26"/>
  <c r="AP194" i="26"/>
  <c r="AP195" i="26"/>
  <c r="AP196" i="26"/>
  <c r="AP197" i="26"/>
  <c r="AP198" i="26"/>
  <c r="AP199" i="26"/>
  <c r="AP200" i="26"/>
  <c r="AP201" i="26"/>
  <c r="AP202" i="26"/>
  <c r="L242" i="26"/>
  <c r="L241" i="26"/>
  <c r="AN7" i="26"/>
  <c r="AN8" i="26"/>
  <c r="AN28" i="26"/>
  <c r="AN32" i="26"/>
  <c r="AN6" i="26"/>
  <c r="AN9" i="26"/>
  <c r="AN10" i="26"/>
  <c r="AN11" i="26"/>
  <c r="AN12" i="26"/>
  <c r="AN13" i="26"/>
  <c r="AN14" i="26"/>
  <c r="AN15" i="26"/>
  <c r="AN16" i="26"/>
  <c r="AN17" i="26"/>
  <c r="AN18" i="26"/>
  <c r="AN19" i="26"/>
  <c r="AN20" i="26"/>
  <c r="AN21" i="26"/>
  <c r="AN22" i="26"/>
  <c r="AN23" i="26"/>
  <c r="AN24" i="26"/>
  <c r="AN25" i="26"/>
  <c r="AN26" i="26"/>
  <c r="AN27" i="26"/>
  <c r="AN29" i="26"/>
  <c r="AN30" i="26"/>
  <c r="AN31" i="26"/>
  <c r="AN33" i="26"/>
  <c r="AN34" i="26"/>
  <c r="AN35" i="26"/>
  <c r="AN36" i="26"/>
  <c r="AN37" i="26"/>
  <c r="AN38" i="26"/>
  <c r="AN39" i="26"/>
  <c r="AN40" i="26"/>
  <c r="AN41" i="26"/>
  <c r="AN42" i="26"/>
  <c r="AN43" i="26"/>
  <c r="AN44" i="26"/>
  <c r="AN45" i="26"/>
  <c r="AN46" i="26"/>
  <c r="AN47" i="26"/>
  <c r="AN48" i="26"/>
  <c r="AN49" i="26"/>
  <c r="AN50" i="26"/>
  <c r="AN51" i="26"/>
  <c r="AN52" i="26"/>
  <c r="AN53" i="26"/>
  <c r="AN54" i="26"/>
  <c r="AN55" i="26"/>
  <c r="AN56" i="26"/>
  <c r="AN57" i="26"/>
  <c r="AN58" i="26"/>
  <c r="AN59" i="26"/>
  <c r="AN60" i="26"/>
  <c r="AN61" i="26"/>
  <c r="AN62" i="26"/>
  <c r="AN63" i="26"/>
  <c r="AN64" i="26"/>
  <c r="AN65" i="26"/>
  <c r="AN66" i="26"/>
  <c r="AN67" i="26"/>
  <c r="AN68" i="26"/>
  <c r="AN69" i="26"/>
  <c r="AN70" i="26"/>
  <c r="AN71" i="26"/>
  <c r="AN72" i="26"/>
  <c r="AN73" i="26"/>
  <c r="AN74" i="26"/>
  <c r="AN75" i="26"/>
  <c r="AN76" i="26"/>
  <c r="AN77" i="26"/>
  <c r="AN78" i="26"/>
  <c r="AN79" i="26"/>
  <c r="AN80" i="26"/>
  <c r="AN81" i="26"/>
  <c r="AN82" i="26"/>
  <c r="AN83" i="26"/>
  <c r="AN84" i="26"/>
  <c r="AN85" i="26"/>
  <c r="AN86" i="26"/>
  <c r="AN87" i="26"/>
  <c r="AN88" i="26"/>
  <c r="AN89" i="26"/>
  <c r="AN90" i="26"/>
  <c r="AN91" i="26"/>
  <c r="AN92" i="26"/>
  <c r="AN93" i="26"/>
  <c r="AN94" i="26"/>
  <c r="AN95" i="26"/>
  <c r="AN96" i="26"/>
  <c r="AN97" i="26"/>
  <c r="AN98" i="26"/>
  <c r="AN99" i="26"/>
  <c r="AN100" i="26"/>
  <c r="AN101" i="26"/>
  <c r="AN102" i="26"/>
  <c r="AN103" i="26"/>
  <c r="AN104" i="26"/>
  <c r="AN105" i="26"/>
  <c r="AN106" i="26"/>
  <c r="AN107" i="26"/>
  <c r="AN108" i="26"/>
  <c r="AN109" i="26"/>
  <c r="AN110" i="26"/>
  <c r="AN111" i="26"/>
  <c r="AN112" i="26"/>
  <c r="AN113" i="26"/>
  <c r="AN114" i="26"/>
  <c r="AN115" i="26"/>
  <c r="AN116" i="26"/>
  <c r="AN117" i="26"/>
  <c r="AN118" i="26"/>
  <c r="AN119" i="26"/>
  <c r="AN120" i="26"/>
  <c r="AN121" i="26"/>
  <c r="AN122" i="26"/>
  <c r="AN123" i="26"/>
  <c r="AN124" i="26"/>
  <c r="AN125" i="26"/>
  <c r="AN126" i="26"/>
  <c r="AN127" i="26"/>
  <c r="AN128" i="26"/>
  <c r="AN129" i="26"/>
  <c r="AN130" i="26"/>
  <c r="AN131" i="26"/>
  <c r="AN132" i="26"/>
  <c r="AN133" i="26"/>
  <c r="AN134" i="26"/>
  <c r="AN135" i="26"/>
  <c r="AN136" i="26"/>
  <c r="AN137" i="26"/>
  <c r="AN138" i="26"/>
  <c r="AN139" i="26"/>
  <c r="AN140" i="26"/>
  <c r="AN141" i="26"/>
  <c r="AN142" i="26"/>
  <c r="AN143" i="26"/>
  <c r="AN144" i="26"/>
  <c r="AN145" i="26"/>
  <c r="AN146" i="26"/>
  <c r="AN148" i="26"/>
  <c r="AN149" i="26"/>
  <c r="AN150" i="26"/>
  <c r="AN151" i="26"/>
  <c r="AN152" i="26"/>
  <c r="AN153" i="26"/>
  <c r="AN154" i="26"/>
  <c r="AN155" i="26"/>
  <c r="AN156" i="26"/>
  <c r="AN157" i="26"/>
  <c r="AN158" i="26"/>
  <c r="AN159" i="26"/>
  <c r="AN160" i="26"/>
  <c r="AN161" i="26"/>
  <c r="AN162" i="26"/>
  <c r="AN163" i="26"/>
  <c r="AN164" i="26"/>
  <c r="AN165" i="26"/>
  <c r="AN166" i="26"/>
  <c r="AN167" i="26"/>
  <c r="AN168" i="26"/>
  <c r="AN169" i="26"/>
  <c r="AN170" i="26"/>
  <c r="AN171" i="26"/>
  <c r="AN172" i="26"/>
  <c r="AN173" i="26"/>
  <c r="AN174" i="26"/>
  <c r="AN175" i="26"/>
  <c r="AN176" i="26"/>
  <c r="AN177" i="26"/>
  <c r="AN178" i="26"/>
  <c r="AN179" i="26"/>
  <c r="AN180" i="26"/>
  <c r="AN181" i="26"/>
  <c r="AN182" i="26"/>
  <c r="AN183" i="26"/>
  <c r="AN184" i="26"/>
  <c r="AN185" i="26"/>
  <c r="AN186" i="26"/>
  <c r="AN187" i="26"/>
  <c r="AN188" i="26"/>
  <c r="AN189" i="26"/>
  <c r="AN190" i="26"/>
  <c r="AN191" i="26"/>
  <c r="AN192" i="26"/>
  <c r="AN193" i="26"/>
  <c r="AN194" i="26"/>
  <c r="AN195" i="26"/>
  <c r="AN196" i="26"/>
  <c r="AN197" i="26"/>
  <c r="AN198" i="26"/>
  <c r="AN199" i="26"/>
  <c r="AN200" i="26"/>
  <c r="AN201" i="26"/>
  <c r="AN202" i="26"/>
  <c r="L240" i="26"/>
  <c r="AM7" i="26"/>
  <c r="AM8" i="26"/>
  <c r="AM28" i="26"/>
  <c r="AM32" i="26"/>
  <c r="AM6" i="26"/>
  <c r="AM9" i="26"/>
  <c r="AM10" i="26"/>
  <c r="AM11" i="26"/>
  <c r="AM12" i="26"/>
  <c r="AM13" i="26"/>
  <c r="AM14" i="26"/>
  <c r="AM15" i="26"/>
  <c r="AM16" i="26"/>
  <c r="AM17" i="26"/>
  <c r="AM18" i="26"/>
  <c r="AM19" i="26"/>
  <c r="AM20" i="26"/>
  <c r="AM21" i="26"/>
  <c r="AM22" i="26"/>
  <c r="AM23" i="26"/>
  <c r="AM24" i="26"/>
  <c r="AM25" i="26"/>
  <c r="AM26" i="26"/>
  <c r="AM27" i="26"/>
  <c r="AM29" i="26"/>
  <c r="AM30" i="26"/>
  <c r="AM31" i="26"/>
  <c r="AM33" i="26"/>
  <c r="AM34" i="26"/>
  <c r="AM35" i="26"/>
  <c r="AM36" i="26"/>
  <c r="AM37" i="26"/>
  <c r="AM38" i="26"/>
  <c r="AM39" i="26"/>
  <c r="AM40" i="26"/>
  <c r="AM41" i="26"/>
  <c r="AM42" i="26"/>
  <c r="AM43" i="26"/>
  <c r="AM44" i="26"/>
  <c r="AM45" i="26"/>
  <c r="AM46" i="26"/>
  <c r="AM47" i="26"/>
  <c r="AM48" i="26"/>
  <c r="AM49" i="26"/>
  <c r="AM50" i="26"/>
  <c r="AM51" i="26"/>
  <c r="AM52" i="26"/>
  <c r="AM53" i="26"/>
  <c r="AM54" i="26"/>
  <c r="AM55" i="26"/>
  <c r="AM56" i="26"/>
  <c r="AM57" i="26"/>
  <c r="AM58" i="26"/>
  <c r="AM59" i="26"/>
  <c r="AM60" i="26"/>
  <c r="AM61" i="26"/>
  <c r="AM62" i="26"/>
  <c r="AM63" i="26"/>
  <c r="AM64" i="26"/>
  <c r="AM65" i="26"/>
  <c r="AM66" i="26"/>
  <c r="AM67" i="26"/>
  <c r="AM68" i="26"/>
  <c r="AM69" i="26"/>
  <c r="AM70" i="26"/>
  <c r="AM71" i="26"/>
  <c r="AM72" i="26"/>
  <c r="AM73" i="26"/>
  <c r="AM74" i="26"/>
  <c r="AM75" i="26"/>
  <c r="AM76" i="26"/>
  <c r="AM77" i="26"/>
  <c r="AM78" i="26"/>
  <c r="AM79" i="26"/>
  <c r="AM80" i="26"/>
  <c r="AM81" i="26"/>
  <c r="AM82" i="26"/>
  <c r="AM83" i="26"/>
  <c r="AM84" i="26"/>
  <c r="AM85" i="26"/>
  <c r="AM86" i="26"/>
  <c r="AM87" i="26"/>
  <c r="AM88" i="26"/>
  <c r="AM89" i="26"/>
  <c r="AM90" i="26"/>
  <c r="AM91" i="26"/>
  <c r="AM92" i="26"/>
  <c r="AM93" i="26"/>
  <c r="AM94" i="26"/>
  <c r="AM95" i="26"/>
  <c r="AM96" i="26"/>
  <c r="AM97" i="26"/>
  <c r="AM98" i="26"/>
  <c r="AM99" i="26"/>
  <c r="AM100" i="26"/>
  <c r="AM101" i="26"/>
  <c r="AM102" i="26"/>
  <c r="AM103" i="26"/>
  <c r="AM104" i="26"/>
  <c r="AM105" i="26"/>
  <c r="AM106" i="26"/>
  <c r="AM107" i="26"/>
  <c r="AM108" i="26"/>
  <c r="AM109" i="26"/>
  <c r="AM110" i="26"/>
  <c r="AM111" i="26"/>
  <c r="AM112" i="26"/>
  <c r="AM113" i="26"/>
  <c r="AM114" i="26"/>
  <c r="AM115" i="26"/>
  <c r="AM116" i="26"/>
  <c r="AM117" i="26"/>
  <c r="AM118" i="26"/>
  <c r="AM119" i="26"/>
  <c r="AM120" i="26"/>
  <c r="AM121" i="26"/>
  <c r="AM122" i="26"/>
  <c r="AM123" i="26"/>
  <c r="AM124" i="26"/>
  <c r="AM125" i="26"/>
  <c r="AM126" i="26"/>
  <c r="AM127" i="26"/>
  <c r="AM128" i="26"/>
  <c r="AM129" i="26"/>
  <c r="AM130" i="26"/>
  <c r="AM131" i="26"/>
  <c r="AM132" i="26"/>
  <c r="AM133" i="26"/>
  <c r="AM134" i="26"/>
  <c r="AM135" i="26"/>
  <c r="AM136" i="26"/>
  <c r="AM137" i="26"/>
  <c r="AM138" i="26"/>
  <c r="AM139" i="26"/>
  <c r="AM140" i="26"/>
  <c r="AM141" i="26"/>
  <c r="AM142" i="26"/>
  <c r="AM143" i="26"/>
  <c r="AM144" i="26"/>
  <c r="AM145" i="26"/>
  <c r="AM146" i="26"/>
  <c r="AM148" i="26"/>
  <c r="AM149" i="26"/>
  <c r="AM150" i="26"/>
  <c r="AM151" i="26"/>
  <c r="AM152" i="26"/>
  <c r="AM153" i="26"/>
  <c r="AM154" i="26"/>
  <c r="AM155" i="26"/>
  <c r="AM156" i="26"/>
  <c r="AM157" i="26"/>
  <c r="AM158" i="26"/>
  <c r="AM159" i="26"/>
  <c r="AM160" i="26"/>
  <c r="AM161" i="26"/>
  <c r="AM162" i="26"/>
  <c r="AM163" i="26"/>
  <c r="AM164" i="26"/>
  <c r="AM165" i="26"/>
  <c r="AM166" i="26"/>
  <c r="AM167" i="26"/>
  <c r="AM168" i="26"/>
  <c r="AM169" i="26"/>
  <c r="AM170" i="26"/>
  <c r="AM171" i="26"/>
  <c r="AM172" i="26"/>
  <c r="AM173" i="26"/>
  <c r="AM174" i="26"/>
  <c r="AM175" i="26"/>
  <c r="AM176" i="26"/>
  <c r="AM177" i="26"/>
  <c r="AM178" i="26"/>
  <c r="AM179" i="26"/>
  <c r="AM180" i="26"/>
  <c r="AM181" i="26"/>
  <c r="AM182" i="26"/>
  <c r="AM183" i="26"/>
  <c r="AM184" i="26"/>
  <c r="AM185" i="26"/>
  <c r="AM186" i="26"/>
  <c r="AM187" i="26"/>
  <c r="AM188" i="26"/>
  <c r="AM189" i="26"/>
  <c r="AM190" i="26"/>
  <c r="AM191" i="26"/>
  <c r="AM192" i="26"/>
  <c r="AM193" i="26"/>
  <c r="AM194" i="26"/>
  <c r="AM195" i="26"/>
  <c r="AM196" i="26"/>
  <c r="AM197" i="26"/>
  <c r="AM198" i="26"/>
  <c r="AM199" i="26"/>
  <c r="AM200" i="26"/>
  <c r="AM201" i="26"/>
  <c r="AM202" i="26"/>
  <c r="L239" i="26"/>
  <c r="AL7" i="26"/>
  <c r="AL8" i="26"/>
  <c r="AL28" i="26"/>
  <c r="AL32" i="26"/>
  <c r="AL6" i="26"/>
  <c r="AL9" i="26"/>
  <c r="AL10" i="26"/>
  <c r="AL11" i="26"/>
  <c r="AL12" i="26"/>
  <c r="AL13" i="26"/>
  <c r="AL14" i="26"/>
  <c r="AL15" i="26"/>
  <c r="AL16" i="26"/>
  <c r="AL17" i="26"/>
  <c r="AL18" i="26"/>
  <c r="AL19" i="26"/>
  <c r="AL20" i="26"/>
  <c r="AL21" i="26"/>
  <c r="AL22" i="26"/>
  <c r="AL23" i="26"/>
  <c r="AL24" i="26"/>
  <c r="AL25" i="26"/>
  <c r="AL26" i="26"/>
  <c r="AL27" i="26"/>
  <c r="AL29" i="26"/>
  <c r="AL30" i="26"/>
  <c r="AL31" i="26"/>
  <c r="AL33" i="26"/>
  <c r="AL34" i="26"/>
  <c r="AL35" i="26"/>
  <c r="AL36" i="26"/>
  <c r="AL37" i="26"/>
  <c r="AL38" i="26"/>
  <c r="AL39" i="26"/>
  <c r="AL40" i="26"/>
  <c r="AL41" i="26"/>
  <c r="AL42" i="26"/>
  <c r="AL43" i="26"/>
  <c r="AL44" i="26"/>
  <c r="AL45" i="26"/>
  <c r="AL46" i="26"/>
  <c r="AL47" i="26"/>
  <c r="AL48" i="26"/>
  <c r="AL49" i="26"/>
  <c r="AL50" i="26"/>
  <c r="AL51" i="26"/>
  <c r="AL52" i="26"/>
  <c r="AL53" i="26"/>
  <c r="AL54" i="26"/>
  <c r="AL55" i="26"/>
  <c r="AL56" i="26"/>
  <c r="AL57" i="26"/>
  <c r="AL58" i="26"/>
  <c r="AL59" i="26"/>
  <c r="AL60" i="26"/>
  <c r="AL61" i="26"/>
  <c r="AL62" i="26"/>
  <c r="AL63" i="26"/>
  <c r="AL64" i="26"/>
  <c r="AL65" i="26"/>
  <c r="AL66" i="26"/>
  <c r="AL67" i="26"/>
  <c r="AL68" i="26"/>
  <c r="AL69" i="26"/>
  <c r="AL70" i="26"/>
  <c r="AL71" i="26"/>
  <c r="AL72" i="26"/>
  <c r="AL73" i="26"/>
  <c r="AL74" i="26"/>
  <c r="AL75" i="26"/>
  <c r="AL76" i="26"/>
  <c r="AL77" i="26"/>
  <c r="AL78" i="26"/>
  <c r="AL79" i="26"/>
  <c r="AL80" i="26"/>
  <c r="AL81" i="26"/>
  <c r="AL82" i="26"/>
  <c r="AL83" i="26"/>
  <c r="AL84" i="26"/>
  <c r="AL85" i="26"/>
  <c r="AL86" i="26"/>
  <c r="AL87" i="26"/>
  <c r="AL88" i="26"/>
  <c r="AL89" i="26"/>
  <c r="AL90" i="26"/>
  <c r="AL91" i="26"/>
  <c r="AL92" i="26"/>
  <c r="AL93" i="26"/>
  <c r="AL94" i="26"/>
  <c r="AL95" i="26"/>
  <c r="AL96" i="26"/>
  <c r="AL97" i="26"/>
  <c r="AL98" i="26"/>
  <c r="AL99" i="26"/>
  <c r="AL100" i="26"/>
  <c r="AL101" i="26"/>
  <c r="AL102" i="26"/>
  <c r="AL103" i="26"/>
  <c r="AL104" i="26"/>
  <c r="AL105" i="26"/>
  <c r="AL106" i="26"/>
  <c r="AL107" i="26"/>
  <c r="AL108" i="26"/>
  <c r="AL109" i="26"/>
  <c r="AL110" i="26"/>
  <c r="AL111" i="26"/>
  <c r="AL112" i="26"/>
  <c r="AL113" i="26"/>
  <c r="AL114" i="26"/>
  <c r="AL115" i="26"/>
  <c r="AL116" i="26"/>
  <c r="AL117" i="26"/>
  <c r="AL118" i="26"/>
  <c r="AL119" i="26"/>
  <c r="AL120" i="26"/>
  <c r="AL121" i="26"/>
  <c r="AL122" i="26"/>
  <c r="AL123" i="26"/>
  <c r="AL124" i="26"/>
  <c r="AL125" i="26"/>
  <c r="AL126" i="26"/>
  <c r="AL127" i="26"/>
  <c r="AL128" i="26"/>
  <c r="AL129" i="26"/>
  <c r="AL130" i="26"/>
  <c r="AL131" i="26"/>
  <c r="AL132" i="26"/>
  <c r="AL133" i="26"/>
  <c r="AL134" i="26"/>
  <c r="AL135" i="26"/>
  <c r="AL136" i="26"/>
  <c r="AL137" i="26"/>
  <c r="AL138" i="26"/>
  <c r="AL139" i="26"/>
  <c r="AL140" i="26"/>
  <c r="AL141" i="26"/>
  <c r="AL142" i="26"/>
  <c r="AL143" i="26"/>
  <c r="AL144" i="26"/>
  <c r="AL145" i="26"/>
  <c r="AL146" i="26"/>
  <c r="AL148" i="26"/>
  <c r="AL149" i="26"/>
  <c r="AL150" i="26"/>
  <c r="AL151" i="26"/>
  <c r="AL152" i="26"/>
  <c r="AL153" i="26"/>
  <c r="AL154" i="26"/>
  <c r="AL155" i="26"/>
  <c r="AL156" i="26"/>
  <c r="AL157" i="26"/>
  <c r="AL158" i="26"/>
  <c r="AL159" i="26"/>
  <c r="AL160" i="26"/>
  <c r="AL161" i="26"/>
  <c r="AL162" i="26"/>
  <c r="AL163" i="26"/>
  <c r="AL164" i="26"/>
  <c r="AL165" i="26"/>
  <c r="AL166" i="26"/>
  <c r="AL167" i="26"/>
  <c r="AL168" i="26"/>
  <c r="AL169" i="26"/>
  <c r="AL170" i="26"/>
  <c r="AL171" i="26"/>
  <c r="AL172" i="26"/>
  <c r="AL173" i="26"/>
  <c r="AL174" i="26"/>
  <c r="AL175" i="26"/>
  <c r="AL176" i="26"/>
  <c r="AL177" i="26"/>
  <c r="AL178" i="26"/>
  <c r="AL179" i="26"/>
  <c r="AL180" i="26"/>
  <c r="AL181" i="26"/>
  <c r="AL182" i="26"/>
  <c r="AL183" i="26"/>
  <c r="AL184" i="26"/>
  <c r="AL185" i="26"/>
  <c r="AL186" i="26"/>
  <c r="AL187" i="26"/>
  <c r="AL188" i="26"/>
  <c r="AL189" i="26"/>
  <c r="AL190" i="26"/>
  <c r="AL191" i="26"/>
  <c r="AL192" i="26"/>
  <c r="AL193" i="26"/>
  <c r="AL194" i="26"/>
  <c r="AL195" i="26"/>
  <c r="AL196" i="26"/>
  <c r="AL197" i="26"/>
  <c r="AL198" i="26"/>
  <c r="AL199" i="26"/>
  <c r="AL200" i="26"/>
  <c r="AL201" i="26"/>
  <c r="AL202" i="26"/>
  <c r="L238" i="26"/>
  <c r="AK7" i="26"/>
  <c r="AK8" i="26"/>
  <c r="AK28" i="26"/>
  <c r="AK32" i="26"/>
  <c r="AK6" i="26"/>
  <c r="AK9" i="26"/>
  <c r="AK10" i="26"/>
  <c r="AK11" i="26"/>
  <c r="AK12" i="26"/>
  <c r="AK13" i="26"/>
  <c r="AK14" i="26"/>
  <c r="AK15" i="26"/>
  <c r="AK16" i="26"/>
  <c r="AK17" i="26"/>
  <c r="AK18" i="26"/>
  <c r="AK19" i="26"/>
  <c r="AK20" i="26"/>
  <c r="AK21" i="26"/>
  <c r="AK22" i="26"/>
  <c r="AK23" i="26"/>
  <c r="AK24" i="26"/>
  <c r="AK25" i="26"/>
  <c r="AK26" i="26"/>
  <c r="AK27" i="26"/>
  <c r="AK29" i="26"/>
  <c r="AK30" i="26"/>
  <c r="AK31" i="26"/>
  <c r="AK33" i="26"/>
  <c r="AK34" i="26"/>
  <c r="AK35" i="26"/>
  <c r="AK36" i="26"/>
  <c r="AK37" i="26"/>
  <c r="AK38" i="26"/>
  <c r="AK39" i="26"/>
  <c r="AK40" i="26"/>
  <c r="AK41" i="26"/>
  <c r="AK42" i="26"/>
  <c r="AK43" i="26"/>
  <c r="AK44" i="26"/>
  <c r="AK45" i="26"/>
  <c r="AK46" i="26"/>
  <c r="AK47" i="26"/>
  <c r="AK48" i="26"/>
  <c r="AK49" i="26"/>
  <c r="AK50" i="26"/>
  <c r="AK51" i="26"/>
  <c r="AK52" i="26"/>
  <c r="AK53" i="26"/>
  <c r="AK54" i="26"/>
  <c r="AK55" i="26"/>
  <c r="AK56" i="26"/>
  <c r="AK57" i="26"/>
  <c r="AK58" i="26"/>
  <c r="AK59" i="26"/>
  <c r="AK60" i="26"/>
  <c r="AK61" i="26"/>
  <c r="AK62" i="26"/>
  <c r="AK63" i="26"/>
  <c r="AK64" i="26"/>
  <c r="AK65" i="26"/>
  <c r="AK66" i="26"/>
  <c r="AK67" i="26"/>
  <c r="AK68" i="26"/>
  <c r="AK69" i="26"/>
  <c r="AK70" i="26"/>
  <c r="AK71" i="26"/>
  <c r="AK72" i="26"/>
  <c r="AK73" i="26"/>
  <c r="AK74" i="26"/>
  <c r="AK75" i="26"/>
  <c r="AK76" i="26"/>
  <c r="AK77" i="26"/>
  <c r="AK78" i="26"/>
  <c r="AK79" i="26"/>
  <c r="AK80" i="26"/>
  <c r="AK81" i="26"/>
  <c r="AK82" i="26"/>
  <c r="AK83" i="26"/>
  <c r="AK84" i="26"/>
  <c r="AK85" i="26"/>
  <c r="AK86" i="26"/>
  <c r="AK87" i="26"/>
  <c r="AK88" i="26"/>
  <c r="AK89" i="26"/>
  <c r="AK90" i="26"/>
  <c r="AK91" i="26"/>
  <c r="AK92" i="26"/>
  <c r="AK93" i="26"/>
  <c r="AK94" i="26"/>
  <c r="AK95" i="26"/>
  <c r="AK96" i="26"/>
  <c r="AK97" i="26"/>
  <c r="AK98" i="26"/>
  <c r="AK99" i="26"/>
  <c r="AK100" i="26"/>
  <c r="AK101" i="26"/>
  <c r="AK102" i="26"/>
  <c r="AK103" i="26"/>
  <c r="AK104" i="26"/>
  <c r="AK105" i="26"/>
  <c r="AK106" i="26"/>
  <c r="AK107" i="26"/>
  <c r="AK108" i="26"/>
  <c r="AK109" i="26"/>
  <c r="AK110" i="26"/>
  <c r="AK111" i="26"/>
  <c r="AK112" i="26"/>
  <c r="AK113" i="26"/>
  <c r="AK114" i="26"/>
  <c r="AK115" i="26"/>
  <c r="AK116" i="26"/>
  <c r="AK117" i="26"/>
  <c r="AK118" i="26"/>
  <c r="AK119" i="26"/>
  <c r="AK120" i="26"/>
  <c r="AK121" i="26"/>
  <c r="AK122" i="26"/>
  <c r="AK123" i="26"/>
  <c r="AK124" i="26"/>
  <c r="AK125" i="26"/>
  <c r="AK126" i="26"/>
  <c r="AK127" i="26"/>
  <c r="AK128" i="26"/>
  <c r="AK129" i="26"/>
  <c r="AK130" i="26"/>
  <c r="AK131" i="26"/>
  <c r="AK132" i="26"/>
  <c r="AK133" i="26"/>
  <c r="AK134" i="26"/>
  <c r="AK135" i="26"/>
  <c r="AK136" i="26"/>
  <c r="AK137" i="26"/>
  <c r="AK138" i="26"/>
  <c r="AK139" i="26"/>
  <c r="AK140" i="26"/>
  <c r="AK141" i="26"/>
  <c r="AK142" i="26"/>
  <c r="AK143" i="26"/>
  <c r="AK144" i="26"/>
  <c r="AK145" i="26"/>
  <c r="AK146" i="26"/>
  <c r="AK148" i="26"/>
  <c r="AK149" i="26"/>
  <c r="AK150" i="26"/>
  <c r="AK151" i="26"/>
  <c r="AK152" i="26"/>
  <c r="AK153" i="26"/>
  <c r="AK154" i="26"/>
  <c r="AK155" i="26"/>
  <c r="AK156" i="26"/>
  <c r="AK157" i="26"/>
  <c r="AK158" i="26"/>
  <c r="AK159" i="26"/>
  <c r="AK160" i="26"/>
  <c r="AK161" i="26"/>
  <c r="AK162" i="26"/>
  <c r="AK163" i="26"/>
  <c r="AK164" i="26"/>
  <c r="AK165" i="26"/>
  <c r="AK166" i="26"/>
  <c r="AK167" i="26"/>
  <c r="AK168" i="26"/>
  <c r="AK169" i="26"/>
  <c r="AK170" i="26"/>
  <c r="AK171" i="26"/>
  <c r="AK172" i="26"/>
  <c r="AK173" i="26"/>
  <c r="AK174" i="26"/>
  <c r="AK175" i="26"/>
  <c r="AK176" i="26"/>
  <c r="AK177" i="26"/>
  <c r="AK178" i="26"/>
  <c r="AK179" i="26"/>
  <c r="AK180" i="26"/>
  <c r="AK181" i="26"/>
  <c r="AK182" i="26"/>
  <c r="AK183" i="26"/>
  <c r="AK184" i="26"/>
  <c r="AK185" i="26"/>
  <c r="AK186" i="26"/>
  <c r="AK187" i="26"/>
  <c r="AK188" i="26"/>
  <c r="AK189" i="26"/>
  <c r="AK190" i="26"/>
  <c r="AK191" i="26"/>
  <c r="AK192" i="26"/>
  <c r="AK193" i="26"/>
  <c r="AK194" i="26"/>
  <c r="AK195" i="26"/>
  <c r="AK196" i="26"/>
  <c r="AK197" i="26"/>
  <c r="AK198" i="26"/>
  <c r="AK199" i="26"/>
  <c r="AK200" i="26"/>
  <c r="AK201" i="26"/>
  <c r="AK202" i="26"/>
  <c r="L237" i="26"/>
  <c r="AJ7" i="26"/>
  <c r="AJ8" i="26"/>
  <c r="AJ28" i="26"/>
  <c r="AJ32" i="26"/>
  <c r="AJ6" i="26"/>
  <c r="AJ9" i="26"/>
  <c r="AJ10" i="26"/>
  <c r="AJ11" i="26"/>
  <c r="AJ12" i="26"/>
  <c r="AJ13" i="26"/>
  <c r="AJ14" i="26"/>
  <c r="AJ15" i="26"/>
  <c r="AJ16" i="26"/>
  <c r="AJ17" i="26"/>
  <c r="AJ18" i="26"/>
  <c r="AJ19" i="26"/>
  <c r="AJ20" i="26"/>
  <c r="AJ21" i="26"/>
  <c r="AJ22" i="26"/>
  <c r="AJ23" i="26"/>
  <c r="AJ24" i="26"/>
  <c r="AJ25" i="26"/>
  <c r="AJ26" i="26"/>
  <c r="AJ27" i="26"/>
  <c r="AJ29" i="26"/>
  <c r="AJ30" i="26"/>
  <c r="AJ31" i="26"/>
  <c r="AJ33" i="26"/>
  <c r="AJ34" i="26"/>
  <c r="AJ35" i="26"/>
  <c r="AJ36" i="26"/>
  <c r="AJ37" i="26"/>
  <c r="AJ38" i="26"/>
  <c r="AJ39" i="26"/>
  <c r="AJ40" i="26"/>
  <c r="AJ41" i="26"/>
  <c r="AJ42" i="26"/>
  <c r="AJ43" i="26"/>
  <c r="AJ44" i="26"/>
  <c r="AJ45" i="26"/>
  <c r="AJ46" i="26"/>
  <c r="AJ47" i="26"/>
  <c r="AJ48" i="26"/>
  <c r="AJ49" i="26"/>
  <c r="AJ50" i="26"/>
  <c r="AJ51" i="26"/>
  <c r="AJ52" i="26"/>
  <c r="AJ53" i="26"/>
  <c r="AJ54" i="26"/>
  <c r="AJ55" i="26"/>
  <c r="AJ56" i="26"/>
  <c r="AJ57" i="26"/>
  <c r="AJ58" i="26"/>
  <c r="AJ59" i="26"/>
  <c r="AJ60" i="26"/>
  <c r="AJ61" i="26"/>
  <c r="AJ62" i="26"/>
  <c r="AJ63" i="26"/>
  <c r="AJ64" i="26"/>
  <c r="AJ65" i="26"/>
  <c r="AJ66" i="26"/>
  <c r="AJ67" i="26"/>
  <c r="AJ68" i="26"/>
  <c r="AJ69" i="26"/>
  <c r="AJ70" i="26"/>
  <c r="AJ71" i="26"/>
  <c r="AJ72" i="26"/>
  <c r="AJ73" i="26"/>
  <c r="AJ74" i="26"/>
  <c r="AJ75" i="26"/>
  <c r="AJ76" i="26"/>
  <c r="AJ77" i="26"/>
  <c r="AJ78" i="26"/>
  <c r="AJ79" i="26"/>
  <c r="AJ80" i="26"/>
  <c r="AJ81" i="26"/>
  <c r="AJ82" i="26"/>
  <c r="AJ83" i="26"/>
  <c r="AJ84" i="26"/>
  <c r="AJ85" i="26"/>
  <c r="AJ86" i="26"/>
  <c r="AJ87" i="26"/>
  <c r="AJ88" i="26"/>
  <c r="AJ89" i="26"/>
  <c r="AJ90" i="26"/>
  <c r="AJ91" i="26"/>
  <c r="AJ92" i="26"/>
  <c r="AJ93" i="26"/>
  <c r="AJ94" i="26"/>
  <c r="AJ95" i="26"/>
  <c r="AJ96" i="26"/>
  <c r="AJ97" i="26"/>
  <c r="AJ98" i="26"/>
  <c r="AJ99" i="26"/>
  <c r="AJ100" i="26"/>
  <c r="AJ101" i="26"/>
  <c r="AJ102" i="26"/>
  <c r="AJ103" i="26"/>
  <c r="AJ104" i="26"/>
  <c r="AJ105" i="26"/>
  <c r="AJ106" i="26"/>
  <c r="AJ107" i="26"/>
  <c r="AJ108" i="26"/>
  <c r="AJ109" i="26"/>
  <c r="AJ110" i="26"/>
  <c r="AJ111" i="26"/>
  <c r="AJ112" i="26"/>
  <c r="AJ113" i="26"/>
  <c r="AJ114" i="26"/>
  <c r="AJ115" i="26"/>
  <c r="AJ116" i="26"/>
  <c r="AJ117" i="26"/>
  <c r="AJ118" i="26"/>
  <c r="AJ119" i="26"/>
  <c r="AJ120" i="26"/>
  <c r="AJ121" i="26"/>
  <c r="AJ122" i="26"/>
  <c r="AJ123" i="26"/>
  <c r="AJ124" i="26"/>
  <c r="AJ125" i="26"/>
  <c r="AJ126" i="26"/>
  <c r="AJ127" i="26"/>
  <c r="AJ128" i="26"/>
  <c r="AJ129" i="26"/>
  <c r="AJ130" i="26"/>
  <c r="AJ131" i="26"/>
  <c r="AJ132" i="26"/>
  <c r="AJ133" i="26"/>
  <c r="AJ134" i="26"/>
  <c r="AJ135" i="26"/>
  <c r="AJ136" i="26"/>
  <c r="AJ137" i="26"/>
  <c r="AJ138" i="26"/>
  <c r="AJ139" i="26"/>
  <c r="AJ140" i="26"/>
  <c r="AJ141" i="26"/>
  <c r="AJ142" i="26"/>
  <c r="AJ143" i="26"/>
  <c r="AJ144" i="26"/>
  <c r="AJ145" i="26"/>
  <c r="AJ146" i="26"/>
  <c r="AJ148" i="26"/>
  <c r="AJ149" i="26"/>
  <c r="AJ150" i="26"/>
  <c r="AJ151" i="26"/>
  <c r="AJ152" i="26"/>
  <c r="AJ153" i="26"/>
  <c r="AJ154" i="26"/>
  <c r="AJ155" i="26"/>
  <c r="AJ156" i="26"/>
  <c r="AJ157" i="26"/>
  <c r="AJ158" i="26"/>
  <c r="AJ159" i="26"/>
  <c r="AJ160" i="26"/>
  <c r="AJ161" i="26"/>
  <c r="AJ162" i="26"/>
  <c r="AJ163" i="26"/>
  <c r="AJ164" i="26"/>
  <c r="AJ165" i="26"/>
  <c r="AJ166" i="26"/>
  <c r="AJ167" i="26"/>
  <c r="AJ168" i="26"/>
  <c r="AJ169" i="26"/>
  <c r="AJ170" i="26"/>
  <c r="AJ171" i="26"/>
  <c r="AJ172" i="26"/>
  <c r="AJ173" i="26"/>
  <c r="AJ174" i="26"/>
  <c r="AJ175" i="26"/>
  <c r="AJ176" i="26"/>
  <c r="AJ177" i="26"/>
  <c r="AJ178" i="26"/>
  <c r="AJ179" i="26"/>
  <c r="AJ180" i="26"/>
  <c r="AJ181" i="26"/>
  <c r="AJ182" i="26"/>
  <c r="AJ183" i="26"/>
  <c r="AJ184" i="26"/>
  <c r="AJ185" i="26"/>
  <c r="AJ186" i="26"/>
  <c r="AJ187" i="26"/>
  <c r="AJ188" i="26"/>
  <c r="AJ189" i="26"/>
  <c r="AJ190" i="26"/>
  <c r="AJ191" i="26"/>
  <c r="AJ192" i="26"/>
  <c r="AJ193" i="26"/>
  <c r="AJ194" i="26"/>
  <c r="AJ195" i="26"/>
  <c r="AJ196" i="26"/>
  <c r="AJ197" i="26"/>
  <c r="AJ198" i="26"/>
  <c r="AJ199" i="26"/>
  <c r="AJ200" i="26"/>
  <c r="AJ201" i="26"/>
  <c r="AJ202" i="26"/>
  <c r="L236" i="26"/>
  <c r="AI7" i="26"/>
  <c r="AI8" i="26"/>
  <c r="AI28" i="26"/>
  <c r="AI32" i="26"/>
  <c r="AI6" i="26"/>
  <c r="AI9" i="26"/>
  <c r="AI10" i="26"/>
  <c r="AI11" i="26"/>
  <c r="AI12" i="26"/>
  <c r="AI13" i="26"/>
  <c r="AI14" i="26"/>
  <c r="AI15" i="26"/>
  <c r="AI16" i="26"/>
  <c r="AI17" i="26"/>
  <c r="AI18" i="26"/>
  <c r="AI19" i="26"/>
  <c r="AI20" i="26"/>
  <c r="AI21" i="26"/>
  <c r="AI22" i="26"/>
  <c r="AI23" i="26"/>
  <c r="AI24" i="26"/>
  <c r="AI25" i="26"/>
  <c r="AI26" i="26"/>
  <c r="AI27" i="26"/>
  <c r="AI29" i="26"/>
  <c r="AI30" i="26"/>
  <c r="AI31" i="26"/>
  <c r="AI33" i="26"/>
  <c r="AI34" i="26"/>
  <c r="AI35" i="26"/>
  <c r="AI36" i="26"/>
  <c r="AI37" i="26"/>
  <c r="AI38" i="26"/>
  <c r="AI39" i="26"/>
  <c r="AI40" i="26"/>
  <c r="AI41" i="26"/>
  <c r="AI42" i="26"/>
  <c r="AI43" i="26"/>
  <c r="AI44" i="26"/>
  <c r="AI45" i="26"/>
  <c r="AI46" i="26"/>
  <c r="AI47" i="26"/>
  <c r="AI48" i="26"/>
  <c r="AI49" i="26"/>
  <c r="AI50" i="26"/>
  <c r="AI51" i="26"/>
  <c r="AI52" i="26"/>
  <c r="AI53" i="26"/>
  <c r="AI54" i="26"/>
  <c r="AI55" i="26"/>
  <c r="AI56" i="26"/>
  <c r="AI57" i="26"/>
  <c r="AI58" i="26"/>
  <c r="AI59" i="26"/>
  <c r="AI60" i="26"/>
  <c r="AI61" i="26"/>
  <c r="AI62" i="26"/>
  <c r="AI63" i="26"/>
  <c r="AI64" i="26"/>
  <c r="AI65" i="26"/>
  <c r="AI66" i="26"/>
  <c r="AI67" i="26"/>
  <c r="AI68" i="26"/>
  <c r="AI69" i="26"/>
  <c r="AI70" i="26"/>
  <c r="AI71" i="26"/>
  <c r="AI72" i="26"/>
  <c r="AI73" i="26"/>
  <c r="AI74" i="26"/>
  <c r="AI75" i="26"/>
  <c r="AI76" i="26"/>
  <c r="AI77" i="26"/>
  <c r="AI78" i="26"/>
  <c r="AI79" i="26"/>
  <c r="AI80" i="26"/>
  <c r="AI81" i="26"/>
  <c r="AI82" i="26"/>
  <c r="AI83" i="26"/>
  <c r="AI84" i="26"/>
  <c r="AI85" i="26"/>
  <c r="AI86" i="26"/>
  <c r="AI87" i="26"/>
  <c r="AI88" i="26"/>
  <c r="AI89" i="26"/>
  <c r="AI90" i="26"/>
  <c r="AI91" i="26"/>
  <c r="AI92" i="26"/>
  <c r="AI93" i="26"/>
  <c r="AI94" i="26"/>
  <c r="AI95" i="26"/>
  <c r="AI96" i="26"/>
  <c r="AI97" i="26"/>
  <c r="AI98" i="26"/>
  <c r="AI99" i="26"/>
  <c r="AI100" i="26"/>
  <c r="AI101" i="26"/>
  <c r="AI102" i="26"/>
  <c r="AI103" i="26"/>
  <c r="AI104" i="26"/>
  <c r="AI105" i="26"/>
  <c r="AI106" i="26"/>
  <c r="AI107" i="26"/>
  <c r="AI108" i="26"/>
  <c r="AI109" i="26"/>
  <c r="AI110" i="26"/>
  <c r="AI111" i="26"/>
  <c r="AI112" i="26"/>
  <c r="AI113" i="26"/>
  <c r="AI114" i="26"/>
  <c r="AI115" i="26"/>
  <c r="AI116" i="26"/>
  <c r="AI117" i="26"/>
  <c r="AI118" i="26"/>
  <c r="AI119" i="26"/>
  <c r="AI120" i="26"/>
  <c r="AI121" i="26"/>
  <c r="AI122" i="26"/>
  <c r="AI123" i="26"/>
  <c r="AI124" i="26"/>
  <c r="AI125" i="26"/>
  <c r="AI126" i="26"/>
  <c r="AI127" i="26"/>
  <c r="AI128" i="26"/>
  <c r="AI129" i="26"/>
  <c r="AI130" i="26"/>
  <c r="AI131" i="26"/>
  <c r="AI132" i="26"/>
  <c r="AI133" i="26"/>
  <c r="AI134" i="26"/>
  <c r="AI135" i="26"/>
  <c r="AI136" i="26"/>
  <c r="AI137" i="26"/>
  <c r="AI138" i="26"/>
  <c r="AI139" i="26"/>
  <c r="AI140" i="26"/>
  <c r="AI141" i="26"/>
  <c r="AI142" i="26"/>
  <c r="AI143" i="26"/>
  <c r="AI144" i="26"/>
  <c r="AI145" i="26"/>
  <c r="AI146" i="26"/>
  <c r="AI148" i="26"/>
  <c r="AI149" i="26"/>
  <c r="AI150" i="26"/>
  <c r="AI151" i="26"/>
  <c r="AI152" i="26"/>
  <c r="AI153" i="26"/>
  <c r="AI154" i="26"/>
  <c r="AI155" i="26"/>
  <c r="AI156" i="26"/>
  <c r="AI157" i="26"/>
  <c r="AI158" i="26"/>
  <c r="AI159" i="26"/>
  <c r="AI160" i="26"/>
  <c r="AI161" i="26"/>
  <c r="AI162" i="26"/>
  <c r="AI163" i="26"/>
  <c r="AI164" i="26"/>
  <c r="AI165" i="26"/>
  <c r="AI166" i="26"/>
  <c r="AI167" i="26"/>
  <c r="AI168" i="26"/>
  <c r="AI169" i="26"/>
  <c r="AI170" i="26"/>
  <c r="AI171" i="26"/>
  <c r="AI172" i="26"/>
  <c r="AI173" i="26"/>
  <c r="AI174" i="26"/>
  <c r="AI175" i="26"/>
  <c r="AI176" i="26"/>
  <c r="AI177" i="26"/>
  <c r="AI178" i="26"/>
  <c r="AI179" i="26"/>
  <c r="AI180" i="26"/>
  <c r="AI181" i="26"/>
  <c r="AI182" i="26"/>
  <c r="AI183" i="26"/>
  <c r="AI184" i="26"/>
  <c r="AI185" i="26"/>
  <c r="AI186" i="26"/>
  <c r="AI187" i="26"/>
  <c r="AI188" i="26"/>
  <c r="AI189" i="26"/>
  <c r="AI190" i="26"/>
  <c r="AI191" i="26"/>
  <c r="AI192" i="26"/>
  <c r="AI193" i="26"/>
  <c r="AI194" i="26"/>
  <c r="AI195" i="26"/>
  <c r="AI196" i="26"/>
  <c r="AI197" i="26"/>
  <c r="AI198" i="26"/>
  <c r="AI199" i="26"/>
  <c r="AI200" i="26"/>
  <c r="AI201" i="26"/>
  <c r="AI202" i="26"/>
  <c r="L235" i="26"/>
  <c r="L234" i="26"/>
  <c r="AG7" i="26"/>
  <c r="AG8" i="26"/>
  <c r="AG28" i="26"/>
  <c r="AG32" i="26"/>
  <c r="AG6" i="26"/>
  <c r="AG9" i="26"/>
  <c r="AG10" i="26"/>
  <c r="AG11" i="26"/>
  <c r="AG12" i="26"/>
  <c r="AG13" i="26"/>
  <c r="AG14" i="26"/>
  <c r="AG15" i="26"/>
  <c r="AG16" i="26"/>
  <c r="AG17" i="26"/>
  <c r="AG18" i="26"/>
  <c r="AG19" i="26"/>
  <c r="AG20" i="26"/>
  <c r="AG21" i="26"/>
  <c r="AG22" i="26"/>
  <c r="AG23" i="26"/>
  <c r="AG24" i="26"/>
  <c r="AG25" i="26"/>
  <c r="AG26" i="26"/>
  <c r="AG27" i="26"/>
  <c r="AG29" i="26"/>
  <c r="AG30" i="26"/>
  <c r="AG31" i="26"/>
  <c r="AG33" i="26"/>
  <c r="AG34" i="26"/>
  <c r="AG35" i="26"/>
  <c r="AG36" i="26"/>
  <c r="AG37" i="26"/>
  <c r="AG38" i="26"/>
  <c r="AG39" i="26"/>
  <c r="AG40" i="26"/>
  <c r="AG41" i="26"/>
  <c r="AG42" i="26"/>
  <c r="AG43" i="26"/>
  <c r="AG44" i="26"/>
  <c r="AG45" i="26"/>
  <c r="AG46" i="26"/>
  <c r="AG47" i="26"/>
  <c r="AG48" i="26"/>
  <c r="AG49" i="26"/>
  <c r="AG51" i="26"/>
  <c r="AG52" i="26"/>
  <c r="AG53" i="26"/>
  <c r="AG54" i="26"/>
  <c r="AG55" i="26"/>
  <c r="AG56" i="26"/>
  <c r="AG57" i="26"/>
  <c r="AG58" i="26"/>
  <c r="AG59" i="26"/>
  <c r="AG60" i="26"/>
  <c r="AG61" i="26"/>
  <c r="AG62" i="26"/>
  <c r="AG63" i="26"/>
  <c r="AG64" i="26"/>
  <c r="AG65" i="26"/>
  <c r="AG66" i="26"/>
  <c r="AG67" i="26"/>
  <c r="AG68" i="26"/>
  <c r="AG69" i="26"/>
  <c r="AG70" i="26"/>
  <c r="AG71" i="26"/>
  <c r="AG72" i="26"/>
  <c r="AG73" i="26"/>
  <c r="AG74" i="26"/>
  <c r="AG75" i="26"/>
  <c r="AG76" i="26"/>
  <c r="AG77" i="26"/>
  <c r="AG78" i="26"/>
  <c r="AG79" i="26"/>
  <c r="AG80" i="26"/>
  <c r="AG81" i="26"/>
  <c r="AG82" i="26"/>
  <c r="AG83" i="26"/>
  <c r="AG84" i="26"/>
  <c r="AG85" i="26"/>
  <c r="AG86" i="26"/>
  <c r="AG87" i="26"/>
  <c r="AG88" i="26"/>
  <c r="AG89" i="26"/>
  <c r="AG90" i="26"/>
  <c r="AG91" i="26"/>
  <c r="AG92" i="26"/>
  <c r="AG93" i="26"/>
  <c r="AG94" i="26"/>
  <c r="AG95" i="26"/>
  <c r="AG96" i="26"/>
  <c r="AG97" i="26"/>
  <c r="AG98" i="26"/>
  <c r="AG99" i="26"/>
  <c r="AG100" i="26"/>
  <c r="AG101" i="26"/>
  <c r="AG102" i="26"/>
  <c r="AG103" i="26"/>
  <c r="AG104" i="26"/>
  <c r="AG105" i="26"/>
  <c r="AG106" i="26"/>
  <c r="AG107" i="26"/>
  <c r="AG108" i="26"/>
  <c r="AG109" i="26"/>
  <c r="AG110" i="26"/>
  <c r="AG111" i="26"/>
  <c r="AG112" i="26"/>
  <c r="AG113" i="26"/>
  <c r="AG114" i="26"/>
  <c r="AG115" i="26"/>
  <c r="AG116" i="26"/>
  <c r="AG117" i="26"/>
  <c r="AG118" i="26"/>
  <c r="AG119" i="26"/>
  <c r="AG120" i="26"/>
  <c r="AG121" i="26"/>
  <c r="AG122" i="26"/>
  <c r="AG123" i="26"/>
  <c r="AG124" i="26"/>
  <c r="AG125" i="26"/>
  <c r="AG126" i="26"/>
  <c r="AG127" i="26"/>
  <c r="AG128" i="26"/>
  <c r="AG129" i="26"/>
  <c r="AG130" i="26"/>
  <c r="AG131" i="26"/>
  <c r="AG132" i="26"/>
  <c r="AG133" i="26"/>
  <c r="AG134" i="26"/>
  <c r="AG135" i="26"/>
  <c r="AG136" i="26"/>
  <c r="AG137" i="26"/>
  <c r="AG138" i="26"/>
  <c r="AG139" i="26"/>
  <c r="AG140" i="26"/>
  <c r="AG141" i="26"/>
  <c r="AG142" i="26"/>
  <c r="AG143" i="26"/>
  <c r="AG144" i="26"/>
  <c r="AG145" i="26"/>
  <c r="AG146" i="26"/>
  <c r="AG148" i="26"/>
  <c r="AG149" i="26"/>
  <c r="AG150" i="26"/>
  <c r="AG151" i="26"/>
  <c r="AG152" i="26"/>
  <c r="AG153" i="26"/>
  <c r="AG154" i="26"/>
  <c r="AG155" i="26"/>
  <c r="AG156" i="26"/>
  <c r="AG157" i="26"/>
  <c r="AG158" i="26"/>
  <c r="AG159" i="26"/>
  <c r="AG160" i="26"/>
  <c r="AG161" i="26"/>
  <c r="AG162" i="26"/>
  <c r="AG163" i="26"/>
  <c r="AG164" i="26"/>
  <c r="AG165" i="26"/>
  <c r="AG166" i="26"/>
  <c r="AG167" i="26"/>
  <c r="AG168" i="26"/>
  <c r="AG169" i="26"/>
  <c r="AG170" i="26"/>
  <c r="AG171" i="26"/>
  <c r="AG172" i="26"/>
  <c r="AG173" i="26"/>
  <c r="AG174" i="26"/>
  <c r="AG175" i="26"/>
  <c r="AG176" i="26"/>
  <c r="AG177" i="26"/>
  <c r="AG178" i="26"/>
  <c r="AG179" i="26"/>
  <c r="AG180" i="26"/>
  <c r="AG181" i="26"/>
  <c r="AG182" i="26"/>
  <c r="AG183" i="26"/>
  <c r="AG184" i="26"/>
  <c r="AG185" i="26"/>
  <c r="AG186" i="26"/>
  <c r="AG187" i="26"/>
  <c r="AG188" i="26"/>
  <c r="AG189" i="26"/>
  <c r="AG190" i="26"/>
  <c r="AG191" i="26"/>
  <c r="AG192" i="26"/>
  <c r="AG193" i="26"/>
  <c r="AG194" i="26"/>
  <c r="AG195" i="26"/>
  <c r="AG196" i="26"/>
  <c r="AG197" i="26"/>
  <c r="AG198" i="26"/>
  <c r="AG199" i="26"/>
  <c r="AG200" i="26"/>
  <c r="AG201" i="26"/>
  <c r="AG202" i="26"/>
  <c r="L233" i="26"/>
  <c r="AF7" i="26"/>
  <c r="AF8" i="26"/>
  <c r="AF28" i="26"/>
  <c r="AF32" i="26"/>
  <c r="AF6" i="26"/>
  <c r="AF9" i="26"/>
  <c r="AF10" i="26"/>
  <c r="AF11" i="26"/>
  <c r="AF12" i="26"/>
  <c r="AF13" i="26"/>
  <c r="AF14" i="26"/>
  <c r="AF15" i="26"/>
  <c r="AF16" i="26"/>
  <c r="AF17" i="26"/>
  <c r="AF18" i="26"/>
  <c r="AF19" i="26"/>
  <c r="AF20" i="26"/>
  <c r="AF21" i="26"/>
  <c r="AF22" i="26"/>
  <c r="AF23" i="26"/>
  <c r="AF24" i="26"/>
  <c r="AF25" i="26"/>
  <c r="AF26" i="26"/>
  <c r="AF27" i="26"/>
  <c r="AF29" i="26"/>
  <c r="AF30" i="26"/>
  <c r="AF31" i="26"/>
  <c r="AF33" i="26"/>
  <c r="AF34" i="26"/>
  <c r="AF35" i="26"/>
  <c r="AF36" i="26"/>
  <c r="AF37" i="26"/>
  <c r="AF38" i="26"/>
  <c r="AF39" i="26"/>
  <c r="AF40" i="26"/>
  <c r="AF41" i="26"/>
  <c r="AF42" i="26"/>
  <c r="AF43" i="26"/>
  <c r="AF44" i="26"/>
  <c r="AF45" i="26"/>
  <c r="AF46" i="26"/>
  <c r="AF47" i="26"/>
  <c r="AF48" i="26"/>
  <c r="AF49" i="26"/>
  <c r="AF50" i="26"/>
  <c r="AF51" i="26"/>
  <c r="AF52" i="26"/>
  <c r="AF53" i="26"/>
  <c r="AF54" i="26"/>
  <c r="AF55" i="26"/>
  <c r="AF56" i="26"/>
  <c r="AF57" i="26"/>
  <c r="AF58" i="26"/>
  <c r="AF59" i="26"/>
  <c r="AF60" i="26"/>
  <c r="AF61" i="26"/>
  <c r="AF62" i="26"/>
  <c r="AF63" i="26"/>
  <c r="AF64" i="26"/>
  <c r="AF65" i="26"/>
  <c r="AF66" i="26"/>
  <c r="AF67" i="26"/>
  <c r="AF68" i="26"/>
  <c r="AF69" i="26"/>
  <c r="AF70" i="26"/>
  <c r="AF71" i="26"/>
  <c r="AF72" i="26"/>
  <c r="AF73" i="26"/>
  <c r="AF74" i="26"/>
  <c r="AF75" i="26"/>
  <c r="AF76" i="26"/>
  <c r="AF77" i="26"/>
  <c r="AF78" i="26"/>
  <c r="AF79" i="26"/>
  <c r="AF80" i="26"/>
  <c r="AF81" i="26"/>
  <c r="AF82" i="26"/>
  <c r="AF83" i="26"/>
  <c r="AF84" i="26"/>
  <c r="AF85" i="26"/>
  <c r="AF86" i="26"/>
  <c r="AF87" i="26"/>
  <c r="AF88" i="26"/>
  <c r="AF89" i="26"/>
  <c r="AF90" i="26"/>
  <c r="AF91" i="26"/>
  <c r="AF92" i="26"/>
  <c r="AF93" i="26"/>
  <c r="AF94" i="26"/>
  <c r="AF95" i="26"/>
  <c r="AF96" i="26"/>
  <c r="AF97" i="26"/>
  <c r="AF98" i="26"/>
  <c r="AF99" i="26"/>
  <c r="AF100" i="26"/>
  <c r="AF101" i="26"/>
  <c r="AF102" i="26"/>
  <c r="AF103" i="26"/>
  <c r="AF104" i="26"/>
  <c r="AF105" i="26"/>
  <c r="AF106" i="26"/>
  <c r="AF107" i="26"/>
  <c r="AF108" i="26"/>
  <c r="AF109" i="26"/>
  <c r="AF110" i="26"/>
  <c r="AF111" i="26"/>
  <c r="AF112" i="26"/>
  <c r="AF113" i="26"/>
  <c r="AF114" i="26"/>
  <c r="AF115" i="26"/>
  <c r="AF116" i="26"/>
  <c r="AF117" i="26"/>
  <c r="AF118" i="26"/>
  <c r="AF119" i="26"/>
  <c r="AF120" i="26"/>
  <c r="AF121" i="26"/>
  <c r="AF122" i="26"/>
  <c r="AF123" i="26"/>
  <c r="AF124" i="26"/>
  <c r="AF125" i="26"/>
  <c r="AF126" i="26"/>
  <c r="AF127" i="26"/>
  <c r="AF128" i="26"/>
  <c r="AF129" i="26"/>
  <c r="AF130" i="26"/>
  <c r="AF131" i="26"/>
  <c r="AF132" i="26"/>
  <c r="AF133" i="26"/>
  <c r="AF134" i="26"/>
  <c r="AF135" i="26"/>
  <c r="AF136" i="26"/>
  <c r="AF137" i="26"/>
  <c r="AF138" i="26"/>
  <c r="AF139" i="26"/>
  <c r="AF140" i="26"/>
  <c r="AF141" i="26"/>
  <c r="AF142" i="26"/>
  <c r="AF143" i="26"/>
  <c r="AF144" i="26"/>
  <c r="AF145" i="26"/>
  <c r="AF146" i="26"/>
  <c r="AF148" i="26"/>
  <c r="AF149" i="26"/>
  <c r="AF150" i="26"/>
  <c r="AF151" i="26"/>
  <c r="AF152" i="26"/>
  <c r="AF153" i="26"/>
  <c r="AF154" i="26"/>
  <c r="AF155" i="26"/>
  <c r="AF156" i="26"/>
  <c r="AF157" i="26"/>
  <c r="AF158" i="26"/>
  <c r="AF159" i="26"/>
  <c r="AF160" i="26"/>
  <c r="AF161" i="26"/>
  <c r="AF162" i="26"/>
  <c r="AF163" i="26"/>
  <c r="AF164" i="26"/>
  <c r="AF165" i="26"/>
  <c r="AF166" i="26"/>
  <c r="AF167" i="26"/>
  <c r="AF168" i="26"/>
  <c r="AF169" i="26"/>
  <c r="AF170" i="26"/>
  <c r="AF171" i="26"/>
  <c r="AF172" i="26"/>
  <c r="AF173" i="26"/>
  <c r="AF174" i="26"/>
  <c r="AF175" i="26"/>
  <c r="AF176" i="26"/>
  <c r="AF177" i="26"/>
  <c r="AF178" i="26"/>
  <c r="AF179" i="26"/>
  <c r="AF180" i="26"/>
  <c r="AF181" i="26"/>
  <c r="AF182" i="26"/>
  <c r="AF183" i="26"/>
  <c r="AF184" i="26"/>
  <c r="AF185" i="26"/>
  <c r="AF186" i="26"/>
  <c r="AF187" i="26"/>
  <c r="AF188" i="26"/>
  <c r="AF189" i="26"/>
  <c r="AF190" i="26"/>
  <c r="AF191" i="26"/>
  <c r="AF192" i="26"/>
  <c r="AF193" i="26"/>
  <c r="AF194" i="26"/>
  <c r="AF195" i="26"/>
  <c r="AF196" i="26"/>
  <c r="AF197" i="26"/>
  <c r="AF198" i="26"/>
  <c r="AF199" i="26"/>
  <c r="AF200" i="26"/>
  <c r="AF201" i="26"/>
  <c r="AF202" i="26"/>
  <c r="L232" i="26"/>
  <c r="AE7" i="26"/>
  <c r="AE8" i="26"/>
  <c r="AE28" i="26"/>
  <c r="AE32" i="26"/>
  <c r="AE6" i="26"/>
  <c r="AE9" i="26"/>
  <c r="AE10" i="26"/>
  <c r="AE11" i="26"/>
  <c r="AE12" i="26"/>
  <c r="AE13" i="26"/>
  <c r="AE14" i="26"/>
  <c r="AE15" i="26"/>
  <c r="AE16" i="26"/>
  <c r="AE17" i="26"/>
  <c r="AE18" i="26"/>
  <c r="AE19" i="26"/>
  <c r="AE20" i="26"/>
  <c r="AE21" i="26"/>
  <c r="AE22" i="26"/>
  <c r="AE23" i="26"/>
  <c r="AE24" i="26"/>
  <c r="AE25" i="26"/>
  <c r="AE26" i="26"/>
  <c r="AE27" i="26"/>
  <c r="AE29" i="26"/>
  <c r="AE30" i="26"/>
  <c r="AE31"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14" i="26"/>
  <c r="AE115" i="26"/>
  <c r="AE116" i="26"/>
  <c r="AE117" i="26"/>
  <c r="AE118" i="26"/>
  <c r="AE119" i="26"/>
  <c r="AE120" i="26"/>
  <c r="AE121" i="26"/>
  <c r="AE122" i="26"/>
  <c r="AE123" i="26"/>
  <c r="AE124" i="26"/>
  <c r="AE125" i="26"/>
  <c r="AE126" i="26"/>
  <c r="AE127" i="26"/>
  <c r="AE128" i="26"/>
  <c r="AE129" i="26"/>
  <c r="AE130" i="26"/>
  <c r="AE131" i="26"/>
  <c r="AE132" i="26"/>
  <c r="AE133" i="26"/>
  <c r="AE134" i="26"/>
  <c r="AE135" i="26"/>
  <c r="AE136" i="26"/>
  <c r="AE137" i="26"/>
  <c r="AE138" i="26"/>
  <c r="AE139" i="26"/>
  <c r="AE140" i="26"/>
  <c r="AE141" i="26"/>
  <c r="AE142" i="26"/>
  <c r="AE143" i="26"/>
  <c r="AE144" i="26"/>
  <c r="AE145" i="26"/>
  <c r="AE146" i="26"/>
  <c r="AE148" i="26"/>
  <c r="AE149" i="26"/>
  <c r="AE150" i="26"/>
  <c r="AE151" i="26"/>
  <c r="AE152" i="26"/>
  <c r="AE153" i="26"/>
  <c r="AE154" i="26"/>
  <c r="AE155" i="26"/>
  <c r="AE156" i="26"/>
  <c r="AE157" i="26"/>
  <c r="AE158" i="26"/>
  <c r="AE159" i="26"/>
  <c r="AE160" i="26"/>
  <c r="AE161" i="26"/>
  <c r="AE162" i="26"/>
  <c r="AE163" i="26"/>
  <c r="AE164" i="26"/>
  <c r="AE165" i="26"/>
  <c r="AE166" i="26"/>
  <c r="AE167" i="26"/>
  <c r="AE168" i="26"/>
  <c r="AE169" i="26"/>
  <c r="AE170" i="26"/>
  <c r="AE171" i="26"/>
  <c r="AE172" i="26"/>
  <c r="AE173" i="26"/>
  <c r="AE174" i="26"/>
  <c r="AE175" i="26"/>
  <c r="AE176" i="26"/>
  <c r="AE177" i="26"/>
  <c r="AE178" i="26"/>
  <c r="AE179" i="26"/>
  <c r="AE180" i="26"/>
  <c r="AE181" i="26"/>
  <c r="AE182" i="26"/>
  <c r="AE183" i="26"/>
  <c r="AE184" i="26"/>
  <c r="AE185" i="26"/>
  <c r="AE186" i="26"/>
  <c r="AE187" i="26"/>
  <c r="AE188" i="26"/>
  <c r="AE189" i="26"/>
  <c r="AE190" i="26"/>
  <c r="AE191" i="26"/>
  <c r="AE192" i="26"/>
  <c r="AE193" i="26"/>
  <c r="AE194" i="26"/>
  <c r="AE195" i="26"/>
  <c r="AE196" i="26"/>
  <c r="AE197" i="26"/>
  <c r="AE198" i="26"/>
  <c r="AE199" i="26"/>
  <c r="AE200" i="26"/>
  <c r="AE201" i="26"/>
  <c r="AE202" i="26"/>
  <c r="L231" i="26"/>
  <c r="AD7" i="26"/>
  <c r="AD8" i="26"/>
  <c r="AD28" i="26"/>
  <c r="AD32" i="26"/>
  <c r="AD6" i="26"/>
  <c r="AD9" i="26"/>
  <c r="AD10" i="26"/>
  <c r="AD11" i="26"/>
  <c r="AD12" i="26"/>
  <c r="AD13" i="26"/>
  <c r="AD14" i="26"/>
  <c r="AD15" i="26"/>
  <c r="AD16" i="26"/>
  <c r="AD17" i="26"/>
  <c r="AD18" i="26"/>
  <c r="AD19" i="26"/>
  <c r="AD20" i="26"/>
  <c r="AD21" i="26"/>
  <c r="AD22" i="26"/>
  <c r="AD23" i="26"/>
  <c r="AD24" i="26"/>
  <c r="AD25" i="26"/>
  <c r="AD26" i="26"/>
  <c r="AD27" i="26"/>
  <c r="AD29" i="26"/>
  <c r="AD30" i="26"/>
  <c r="AD31"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D114" i="26"/>
  <c r="AD115" i="26"/>
  <c r="AD116" i="26"/>
  <c r="AD117" i="26"/>
  <c r="AD118" i="26"/>
  <c r="AD119" i="26"/>
  <c r="AD120" i="26"/>
  <c r="AD121" i="26"/>
  <c r="AD122" i="26"/>
  <c r="AD123" i="26"/>
  <c r="AD124" i="26"/>
  <c r="AD125" i="26"/>
  <c r="AD126" i="26"/>
  <c r="AD127" i="26"/>
  <c r="AD128" i="26"/>
  <c r="AD129" i="26"/>
  <c r="AD130" i="26"/>
  <c r="AD131" i="26"/>
  <c r="AD132" i="26"/>
  <c r="AD133" i="26"/>
  <c r="AD134" i="26"/>
  <c r="AD135" i="26"/>
  <c r="AD136" i="26"/>
  <c r="AD137" i="26"/>
  <c r="AD138" i="26"/>
  <c r="AD139" i="26"/>
  <c r="AD140" i="26"/>
  <c r="AD141" i="26"/>
  <c r="AD142" i="26"/>
  <c r="AD143" i="26"/>
  <c r="AD144" i="26"/>
  <c r="AD145" i="26"/>
  <c r="AD146" i="26"/>
  <c r="AD148" i="26"/>
  <c r="AD149" i="26"/>
  <c r="AD150" i="26"/>
  <c r="AD151" i="26"/>
  <c r="AD152" i="26"/>
  <c r="AD153" i="26"/>
  <c r="AD154" i="26"/>
  <c r="AD155" i="26"/>
  <c r="AD156" i="26"/>
  <c r="AD157" i="26"/>
  <c r="AD158" i="26"/>
  <c r="AD159" i="26"/>
  <c r="AD160" i="26"/>
  <c r="AD161" i="26"/>
  <c r="AD162" i="26"/>
  <c r="AD163" i="26"/>
  <c r="AD164" i="26"/>
  <c r="AD165" i="26"/>
  <c r="AD166" i="26"/>
  <c r="AD167" i="26"/>
  <c r="AD168" i="26"/>
  <c r="AD169" i="26"/>
  <c r="AD170" i="26"/>
  <c r="AD171" i="26"/>
  <c r="AD172" i="26"/>
  <c r="AD173" i="26"/>
  <c r="AD174" i="26"/>
  <c r="AD175" i="26"/>
  <c r="AD176" i="26"/>
  <c r="AD177" i="26"/>
  <c r="AD178" i="26"/>
  <c r="AD179" i="26"/>
  <c r="AD180" i="26"/>
  <c r="AD181" i="26"/>
  <c r="AD182" i="26"/>
  <c r="AD183" i="26"/>
  <c r="AD184" i="26"/>
  <c r="AD185" i="26"/>
  <c r="AD186" i="26"/>
  <c r="AD187" i="26"/>
  <c r="AD188" i="26"/>
  <c r="AD189" i="26"/>
  <c r="AD190" i="26"/>
  <c r="AD191" i="26"/>
  <c r="AD192" i="26"/>
  <c r="AD193" i="26"/>
  <c r="AD194" i="26"/>
  <c r="AD195" i="26"/>
  <c r="AD196" i="26"/>
  <c r="AD197" i="26"/>
  <c r="AD198" i="26"/>
  <c r="AD199" i="26"/>
  <c r="AD200" i="26"/>
  <c r="AD201" i="26"/>
  <c r="AD202" i="26"/>
  <c r="L230" i="26"/>
  <c r="AC7" i="26"/>
  <c r="AC8" i="26"/>
  <c r="AC28" i="26"/>
  <c r="AC32" i="26"/>
  <c r="AC6" i="26"/>
  <c r="AC9" i="26"/>
  <c r="AC10" i="26"/>
  <c r="AC11" i="26"/>
  <c r="AC12" i="26"/>
  <c r="AC13" i="26"/>
  <c r="AC14" i="26"/>
  <c r="AC15" i="26"/>
  <c r="AC16" i="26"/>
  <c r="AC17" i="26"/>
  <c r="AC18" i="26"/>
  <c r="AC19" i="26"/>
  <c r="AC20" i="26"/>
  <c r="AC21" i="26"/>
  <c r="AC22" i="26"/>
  <c r="AC23" i="26"/>
  <c r="AC24" i="26"/>
  <c r="AC25" i="26"/>
  <c r="AC26" i="26"/>
  <c r="AC27" i="26"/>
  <c r="AC29" i="26"/>
  <c r="AC30" i="26"/>
  <c r="AC31"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14" i="26"/>
  <c r="AC115" i="26"/>
  <c r="AC116" i="26"/>
  <c r="AC117" i="26"/>
  <c r="AC118" i="26"/>
  <c r="AC119" i="26"/>
  <c r="AC120" i="26"/>
  <c r="AC121" i="26"/>
  <c r="AC122" i="26"/>
  <c r="AC123" i="26"/>
  <c r="AC124" i="26"/>
  <c r="AC125" i="26"/>
  <c r="AC126" i="26"/>
  <c r="AC127" i="26"/>
  <c r="AC128" i="26"/>
  <c r="AC129" i="26"/>
  <c r="AC130" i="26"/>
  <c r="AC131" i="26"/>
  <c r="AC132" i="26"/>
  <c r="AC133" i="26"/>
  <c r="AC134" i="26"/>
  <c r="AC135" i="26"/>
  <c r="AC136" i="26"/>
  <c r="AC137" i="26"/>
  <c r="AC138" i="26"/>
  <c r="AC139" i="26"/>
  <c r="AC140" i="26"/>
  <c r="AC141" i="26"/>
  <c r="AC142" i="26"/>
  <c r="AC143" i="26"/>
  <c r="AC144" i="26"/>
  <c r="AC145" i="26"/>
  <c r="AC146" i="26"/>
  <c r="AC148" i="26"/>
  <c r="AC149" i="26"/>
  <c r="AC150" i="26"/>
  <c r="AC151" i="26"/>
  <c r="AC152" i="26"/>
  <c r="AC153" i="26"/>
  <c r="AC154" i="26"/>
  <c r="AC155" i="26"/>
  <c r="AC156" i="26"/>
  <c r="AC157" i="26"/>
  <c r="AC158" i="26"/>
  <c r="AC159" i="26"/>
  <c r="AC160" i="26"/>
  <c r="AC161" i="26"/>
  <c r="AC162" i="26"/>
  <c r="AC163" i="26"/>
  <c r="AC164" i="26"/>
  <c r="AC165" i="26"/>
  <c r="AC166" i="26"/>
  <c r="AC167" i="26"/>
  <c r="AC168" i="26"/>
  <c r="AC169" i="26"/>
  <c r="AC170" i="26"/>
  <c r="AC171" i="26"/>
  <c r="AC172" i="26"/>
  <c r="AC173" i="26"/>
  <c r="AC174" i="26"/>
  <c r="AC175" i="26"/>
  <c r="AC176" i="26"/>
  <c r="AC177" i="26"/>
  <c r="AC178" i="26"/>
  <c r="AC179" i="26"/>
  <c r="AC180" i="26"/>
  <c r="AC181" i="26"/>
  <c r="AC182" i="26"/>
  <c r="AC183" i="26"/>
  <c r="AC184" i="26"/>
  <c r="AC185" i="26"/>
  <c r="AC186" i="26"/>
  <c r="AC187" i="26"/>
  <c r="AC188" i="26"/>
  <c r="AC189" i="26"/>
  <c r="AC190" i="26"/>
  <c r="AC191" i="26"/>
  <c r="AC192" i="26"/>
  <c r="AC193" i="26"/>
  <c r="AC194" i="26"/>
  <c r="AC195" i="26"/>
  <c r="AC196" i="26"/>
  <c r="AC197" i="26"/>
  <c r="AC198" i="26"/>
  <c r="AC199" i="26"/>
  <c r="AC200" i="26"/>
  <c r="AC201" i="26"/>
  <c r="AC202" i="26"/>
  <c r="L229" i="26"/>
  <c r="AB7" i="26"/>
  <c r="AB8" i="26"/>
  <c r="AB28" i="26"/>
  <c r="AB32" i="26"/>
  <c r="AB6" i="26"/>
  <c r="AB9" i="26"/>
  <c r="AB10" i="26"/>
  <c r="AB11" i="26"/>
  <c r="AB12" i="26"/>
  <c r="AB13" i="26"/>
  <c r="AB14" i="26"/>
  <c r="AB15" i="26"/>
  <c r="AB16" i="26"/>
  <c r="AB17" i="26"/>
  <c r="AB18" i="26"/>
  <c r="AB19" i="26"/>
  <c r="AB20" i="26"/>
  <c r="AB21" i="26"/>
  <c r="AB22" i="26"/>
  <c r="AB23" i="26"/>
  <c r="AB24" i="26"/>
  <c r="AB25" i="26"/>
  <c r="AB26" i="26"/>
  <c r="AB27" i="26"/>
  <c r="AB29" i="26"/>
  <c r="AB30" i="26"/>
  <c r="AB31"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73" i="26"/>
  <c r="AB74" i="26"/>
  <c r="AB75" i="26"/>
  <c r="AB76" i="26"/>
  <c r="AB77" i="26"/>
  <c r="AB78" i="26"/>
  <c r="AB79" i="26"/>
  <c r="AB80" i="26"/>
  <c r="AB81" i="26"/>
  <c r="AB82" i="26"/>
  <c r="AB83" i="26"/>
  <c r="AB84" i="26"/>
  <c r="AB85" i="26"/>
  <c r="AB86" i="26"/>
  <c r="AB87" i="26"/>
  <c r="AB88" i="26"/>
  <c r="AB89" i="26"/>
  <c r="AB90" i="26"/>
  <c r="AB91" i="26"/>
  <c r="AB92" i="26"/>
  <c r="AB93" i="26"/>
  <c r="AB94" i="26"/>
  <c r="AB95" i="26"/>
  <c r="AB96" i="26"/>
  <c r="AB97" i="26"/>
  <c r="AB98" i="26"/>
  <c r="AB99" i="26"/>
  <c r="AB100" i="26"/>
  <c r="AB101" i="26"/>
  <c r="AB102" i="26"/>
  <c r="AB103" i="26"/>
  <c r="AB104" i="26"/>
  <c r="AB105" i="26"/>
  <c r="AB106" i="26"/>
  <c r="AB107" i="26"/>
  <c r="AB108" i="26"/>
  <c r="AB109" i="26"/>
  <c r="AB110" i="26"/>
  <c r="AB111" i="26"/>
  <c r="AB112" i="26"/>
  <c r="AB113" i="26"/>
  <c r="AB114" i="26"/>
  <c r="AB115" i="26"/>
  <c r="AB116" i="26"/>
  <c r="AB117" i="26"/>
  <c r="AB118" i="26"/>
  <c r="AB119" i="26"/>
  <c r="AB120" i="26"/>
  <c r="AB121" i="26"/>
  <c r="AB122" i="26"/>
  <c r="AB123" i="26"/>
  <c r="AB124" i="26"/>
  <c r="AB125" i="26"/>
  <c r="AB126" i="26"/>
  <c r="AB127" i="26"/>
  <c r="AB128" i="26"/>
  <c r="AB129" i="26"/>
  <c r="AB130" i="26"/>
  <c r="AB131" i="26"/>
  <c r="AB132" i="26"/>
  <c r="AB133" i="26"/>
  <c r="AB134" i="26"/>
  <c r="AB135" i="26"/>
  <c r="AB136" i="26"/>
  <c r="AB137" i="26"/>
  <c r="AB138" i="26"/>
  <c r="AB139" i="26"/>
  <c r="AB140" i="26"/>
  <c r="AB141" i="26"/>
  <c r="AB142" i="26"/>
  <c r="AB143" i="26"/>
  <c r="AB144" i="26"/>
  <c r="AB145" i="26"/>
  <c r="AB146" i="26"/>
  <c r="AB148" i="26"/>
  <c r="AB149" i="26"/>
  <c r="AB150" i="26"/>
  <c r="AB151" i="26"/>
  <c r="AB152" i="26"/>
  <c r="AB153" i="26"/>
  <c r="AB154" i="26"/>
  <c r="AB155" i="26"/>
  <c r="AB156" i="26"/>
  <c r="AB157" i="26"/>
  <c r="AB158" i="26"/>
  <c r="AB159" i="26"/>
  <c r="AB160" i="26"/>
  <c r="AB161" i="26"/>
  <c r="AB162" i="26"/>
  <c r="AB163" i="26"/>
  <c r="AB164" i="26"/>
  <c r="AB165" i="26"/>
  <c r="AB166" i="26"/>
  <c r="AB167" i="26"/>
  <c r="AB168" i="26"/>
  <c r="AB169" i="26"/>
  <c r="AB170" i="26"/>
  <c r="AB171" i="26"/>
  <c r="AB172" i="26"/>
  <c r="AB173" i="26"/>
  <c r="AB174" i="26"/>
  <c r="AB175" i="26"/>
  <c r="AB176" i="26"/>
  <c r="AB177" i="26"/>
  <c r="AB178" i="26"/>
  <c r="AB179" i="26"/>
  <c r="AB180" i="26"/>
  <c r="AB181" i="26"/>
  <c r="AB182" i="26"/>
  <c r="AB183" i="26"/>
  <c r="AB184" i="26"/>
  <c r="AB185" i="26"/>
  <c r="AB186" i="26"/>
  <c r="AB187" i="26"/>
  <c r="AB188" i="26"/>
  <c r="AB189" i="26"/>
  <c r="AB190" i="26"/>
  <c r="AB191" i="26"/>
  <c r="AB192" i="26"/>
  <c r="AB193" i="26"/>
  <c r="AB194" i="26"/>
  <c r="AB195" i="26"/>
  <c r="AB196" i="26"/>
  <c r="AB197" i="26"/>
  <c r="AB198" i="26"/>
  <c r="AB199" i="26"/>
  <c r="AB200" i="26"/>
  <c r="AB201" i="26"/>
  <c r="AB202" i="26"/>
  <c r="L228" i="26"/>
  <c r="AA7" i="26"/>
  <c r="AA8" i="26"/>
  <c r="AA28" i="26"/>
  <c r="AA32" i="26"/>
  <c r="AA6" i="26"/>
  <c r="AA9" i="26"/>
  <c r="AA10" i="26"/>
  <c r="AA11" i="26"/>
  <c r="AA12" i="26"/>
  <c r="AA13" i="26"/>
  <c r="AA14" i="26"/>
  <c r="AA15" i="26"/>
  <c r="AA16" i="26"/>
  <c r="AA17" i="26"/>
  <c r="AA18" i="26"/>
  <c r="AA19" i="26"/>
  <c r="AA20" i="26"/>
  <c r="AA21" i="26"/>
  <c r="AA22" i="26"/>
  <c r="AA23" i="26"/>
  <c r="AA24" i="26"/>
  <c r="AA25" i="26"/>
  <c r="AA26" i="26"/>
  <c r="AA27" i="26"/>
  <c r="AA29" i="26"/>
  <c r="AA30" i="26"/>
  <c r="AA31" i="26"/>
  <c r="AA33" i="26"/>
  <c r="AA34" i="26"/>
  <c r="AA35" i="26"/>
  <c r="AA36" i="26"/>
  <c r="AA37" i="26"/>
  <c r="AA38" i="26"/>
  <c r="AA39" i="26"/>
  <c r="AA40" i="26"/>
  <c r="AA41" i="26"/>
  <c r="AA42" i="26"/>
  <c r="AA43" i="26"/>
  <c r="AA44" i="26"/>
  <c r="AA45" i="26"/>
  <c r="AA46" i="26"/>
  <c r="AA47" i="26"/>
  <c r="AA48" i="26"/>
  <c r="AA49" i="26"/>
  <c r="AA50" i="26"/>
  <c r="AA51" i="26"/>
  <c r="AA53" i="26"/>
  <c r="AA54" i="26"/>
  <c r="AA55" i="26"/>
  <c r="AA56" i="26"/>
  <c r="AA57" i="26"/>
  <c r="AA58" i="26"/>
  <c r="AA59" i="26"/>
  <c r="AA60" i="26"/>
  <c r="AA61" i="26"/>
  <c r="AA62" i="26"/>
  <c r="AA63" i="26"/>
  <c r="AA64" i="26"/>
  <c r="AA65" i="26"/>
  <c r="AA66" i="26"/>
  <c r="AA67" i="26"/>
  <c r="AA68" i="26"/>
  <c r="AA69" i="26"/>
  <c r="AA70" i="26"/>
  <c r="AA71" i="26"/>
  <c r="AA72" i="26"/>
  <c r="AA73" i="26"/>
  <c r="AA74" i="26"/>
  <c r="AA75" i="26"/>
  <c r="AA76" i="26"/>
  <c r="AA77" i="26"/>
  <c r="AA78" i="26"/>
  <c r="AA79" i="26"/>
  <c r="AA80" i="26"/>
  <c r="AA81" i="26"/>
  <c r="AA82" i="26"/>
  <c r="AA83" i="26"/>
  <c r="AA84" i="26"/>
  <c r="AA85" i="26"/>
  <c r="AA86" i="26"/>
  <c r="AA87" i="26"/>
  <c r="AA88" i="26"/>
  <c r="AA89" i="26"/>
  <c r="AA90" i="26"/>
  <c r="AA91" i="26"/>
  <c r="AA92" i="26"/>
  <c r="AA93" i="26"/>
  <c r="AA94" i="26"/>
  <c r="AA95" i="26"/>
  <c r="AA96" i="26"/>
  <c r="AA97" i="26"/>
  <c r="AA98" i="26"/>
  <c r="AA99" i="26"/>
  <c r="AA100" i="26"/>
  <c r="AA101" i="26"/>
  <c r="AA102" i="26"/>
  <c r="AA103" i="26"/>
  <c r="AA104" i="26"/>
  <c r="AA105" i="26"/>
  <c r="AA106" i="26"/>
  <c r="AA107" i="26"/>
  <c r="AA108" i="26"/>
  <c r="AA109" i="26"/>
  <c r="AA110" i="26"/>
  <c r="AA111" i="26"/>
  <c r="AA112" i="26"/>
  <c r="AA113" i="26"/>
  <c r="AA114" i="26"/>
  <c r="AA115" i="26"/>
  <c r="AA116" i="26"/>
  <c r="AA117" i="26"/>
  <c r="AA118" i="26"/>
  <c r="AA119" i="26"/>
  <c r="AA120" i="26"/>
  <c r="AA121" i="26"/>
  <c r="AA122" i="26"/>
  <c r="AA123" i="26"/>
  <c r="AA124" i="26"/>
  <c r="AA125" i="26"/>
  <c r="AA126" i="26"/>
  <c r="AA127" i="26"/>
  <c r="AA128" i="26"/>
  <c r="AA129" i="26"/>
  <c r="AA130" i="26"/>
  <c r="AA131" i="26"/>
  <c r="AA132" i="26"/>
  <c r="AA133" i="26"/>
  <c r="AA134" i="26"/>
  <c r="AA135" i="26"/>
  <c r="AA136" i="26"/>
  <c r="AA137" i="26"/>
  <c r="AA138" i="26"/>
  <c r="AA139" i="26"/>
  <c r="AA140" i="26"/>
  <c r="AA141" i="26"/>
  <c r="AA142" i="26"/>
  <c r="AA143" i="26"/>
  <c r="AA144" i="26"/>
  <c r="AA145" i="26"/>
  <c r="AA146" i="26"/>
  <c r="AA148" i="26"/>
  <c r="AA149" i="26"/>
  <c r="AA150" i="26"/>
  <c r="AA151" i="26"/>
  <c r="AA152" i="26"/>
  <c r="AA153" i="26"/>
  <c r="AA154" i="26"/>
  <c r="AA155" i="26"/>
  <c r="AA156" i="26"/>
  <c r="AA157" i="26"/>
  <c r="AA158" i="26"/>
  <c r="AA159" i="26"/>
  <c r="AA160" i="26"/>
  <c r="AA161" i="26"/>
  <c r="AA162" i="26"/>
  <c r="AA163" i="26"/>
  <c r="AA164" i="26"/>
  <c r="AA165" i="26"/>
  <c r="AA166" i="26"/>
  <c r="AA167" i="26"/>
  <c r="AA168" i="26"/>
  <c r="AA169" i="26"/>
  <c r="AA170" i="26"/>
  <c r="AA171" i="26"/>
  <c r="AA172" i="26"/>
  <c r="AA173" i="26"/>
  <c r="AA174" i="26"/>
  <c r="AA175" i="26"/>
  <c r="AA176" i="26"/>
  <c r="AA177" i="26"/>
  <c r="AA178" i="26"/>
  <c r="AA179" i="26"/>
  <c r="AA180" i="26"/>
  <c r="AA181" i="26"/>
  <c r="AA182" i="26"/>
  <c r="AA183" i="26"/>
  <c r="AA184" i="26"/>
  <c r="AA185" i="26"/>
  <c r="AA186" i="26"/>
  <c r="AA187" i="26"/>
  <c r="AA188" i="26"/>
  <c r="AA189" i="26"/>
  <c r="AA190" i="26"/>
  <c r="AA191" i="26"/>
  <c r="AA192" i="26"/>
  <c r="AA193" i="26"/>
  <c r="AA194" i="26"/>
  <c r="AA195" i="26"/>
  <c r="AA196" i="26"/>
  <c r="AA197" i="26"/>
  <c r="AA198" i="26"/>
  <c r="AA199" i="26"/>
  <c r="AA200" i="26"/>
  <c r="AA201" i="26"/>
  <c r="AA202" i="26"/>
  <c r="L227" i="26"/>
  <c r="L226" i="26"/>
  <c r="G216" i="26"/>
  <c r="G215" i="26"/>
  <c r="J212" i="26"/>
  <c r="DC209" i="26"/>
  <c r="E209" i="26"/>
  <c r="DC210" i="26"/>
  <c r="DB209" i="26"/>
  <c r="DB210" i="26"/>
  <c r="DA209" i="26"/>
  <c r="DA210" i="26"/>
  <c r="CX209" i="26"/>
  <c r="CX210" i="26"/>
  <c r="CW209" i="26"/>
  <c r="CW210" i="26"/>
  <c r="CV209" i="26"/>
  <c r="CV210" i="26"/>
  <c r="CU209" i="26"/>
  <c r="CU210" i="26"/>
  <c r="CT209" i="26"/>
  <c r="CT210" i="26"/>
  <c r="CS209" i="26"/>
  <c r="CS210" i="26"/>
  <c r="CQ209" i="26"/>
  <c r="CQ210" i="26"/>
  <c r="CP209" i="26"/>
  <c r="CP210" i="26"/>
  <c r="CO209" i="26"/>
  <c r="CO210" i="26"/>
  <c r="CL209" i="26"/>
  <c r="CL210" i="26"/>
  <c r="CK209" i="26"/>
  <c r="CK210" i="26"/>
  <c r="CJ209" i="26"/>
  <c r="CJ210" i="26"/>
  <c r="CI209" i="26"/>
  <c r="CI210" i="26"/>
  <c r="CH209" i="26"/>
  <c r="CH210" i="26"/>
  <c r="CC209" i="26"/>
  <c r="CC210" i="26"/>
  <c r="CB209" i="26"/>
  <c r="CB210" i="26"/>
  <c r="CA209" i="26"/>
  <c r="CA210" i="26"/>
  <c r="BY209" i="26"/>
  <c r="BY210" i="26"/>
  <c r="BX209" i="26"/>
  <c r="BX210" i="26"/>
  <c r="BW209" i="26"/>
  <c r="BW210" i="26"/>
  <c r="BU209" i="26"/>
  <c r="BU210" i="26"/>
  <c r="BT209" i="26"/>
  <c r="BT210" i="26"/>
  <c r="BS209" i="26"/>
  <c r="BS210" i="26"/>
  <c r="BR209" i="26"/>
  <c r="BR210" i="26"/>
  <c r="BP209" i="26"/>
  <c r="BP210" i="26"/>
  <c r="BO209" i="26"/>
  <c r="BO210" i="26"/>
  <c r="BN209" i="26"/>
  <c r="BN210" i="26"/>
  <c r="BL209" i="26"/>
  <c r="BL210" i="26"/>
  <c r="BI209" i="26"/>
  <c r="BI210" i="26"/>
  <c r="BH209" i="26"/>
  <c r="BH210" i="26"/>
  <c r="BG209" i="26"/>
  <c r="BG210" i="26"/>
  <c r="BE209" i="26"/>
  <c r="BE210" i="26"/>
  <c r="BD209" i="26"/>
  <c r="BD210" i="26"/>
  <c r="BC209" i="26"/>
  <c r="BC210" i="26"/>
  <c r="BA209" i="26"/>
  <c r="BA210" i="26"/>
  <c r="AV209" i="26"/>
  <c r="AV210" i="26"/>
  <c r="AP209" i="26"/>
  <c r="AP210" i="26"/>
  <c r="AO209" i="26"/>
  <c r="AO210" i="26"/>
  <c r="AN209" i="26"/>
  <c r="AN210" i="26"/>
  <c r="AM209" i="26"/>
  <c r="AM210" i="26"/>
  <c r="AL209" i="26"/>
  <c r="AL210" i="26"/>
  <c r="AK209" i="26"/>
  <c r="AK210" i="26"/>
  <c r="AJ209" i="26"/>
  <c r="AJ210" i="26"/>
  <c r="AI209" i="26"/>
  <c r="AI210" i="26"/>
  <c r="AH209" i="26"/>
  <c r="AH210" i="26"/>
  <c r="AG209" i="26"/>
  <c r="AG210" i="26"/>
  <c r="AF209" i="26"/>
  <c r="AF210" i="26"/>
  <c r="AE209" i="26"/>
  <c r="AE210" i="26"/>
  <c r="AD209" i="26"/>
  <c r="AD210" i="26"/>
  <c r="AC209" i="26"/>
  <c r="AC210" i="26"/>
  <c r="AB209" i="26"/>
  <c r="AB210" i="26"/>
  <c r="AA209" i="26"/>
  <c r="AA210" i="26"/>
  <c r="Z209" i="26"/>
  <c r="Z210" i="26"/>
  <c r="L209" i="26"/>
  <c r="L210" i="26"/>
  <c r="H7" i="26"/>
  <c r="H8" i="26"/>
  <c r="H28" i="26"/>
  <c r="H32" i="26"/>
  <c r="H6" i="26"/>
  <c r="H9" i="26"/>
  <c r="H10" i="26"/>
  <c r="H11" i="26"/>
  <c r="H12" i="26"/>
  <c r="H13" i="26"/>
  <c r="H14" i="26"/>
  <c r="H16" i="26"/>
  <c r="H17" i="26"/>
  <c r="H18" i="26"/>
  <c r="H19" i="26"/>
  <c r="H20" i="26"/>
  <c r="H21" i="26"/>
  <c r="H22" i="26"/>
  <c r="H23" i="26"/>
  <c r="H24" i="26"/>
  <c r="H26" i="26"/>
  <c r="H27" i="26"/>
  <c r="H29" i="26"/>
  <c r="H30" i="26"/>
  <c r="H31" i="26"/>
  <c r="H34" i="26"/>
  <c r="H36" i="26"/>
  <c r="H37" i="26"/>
  <c r="H38" i="26"/>
  <c r="H39" i="26"/>
  <c r="H40" i="26"/>
  <c r="H41" i="26"/>
  <c r="H42" i="26"/>
  <c r="H43" i="26"/>
  <c r="H44" i="26"/>
  <c r="H45" i="26"/>
  <c r="H46" i="26"/>
  <c r="H47" i="26"/>
  <c r="H48" i="26"/>
  <c r="H50" i="26"/>
  <c r="H51" i="26"/>
  <c r="H52" i="26"/>
  <c r="H53" i="26"/>
  <c r="H54" i="26"/>
  <c r="H55" i="26"/>
  <c r="H56" i="26"/>
  <c r="H57" i="26"/>
  <c r="H58" i="26"/>
  <c r="H59" i="26"/>
  <c r="H60" i="26"/>
  <c r="H62" i="26"/>
  <c r="H63" i="26"/>
  <c r="H64" i="26"/>
  <c r="H65" i="26"/>
  <c r="H66" i="26"/>
  <c r="H67" i="26"/>
  <c r="H68" i="26"/>
  <c r="H69" i="26"/>
  <c r="H70" i="26"/>
  <c r="H71" i="26"/>
  <c r="H72" i="26"/>
  <c r="H74" i="26"/>
  <c r="H75" i="26"/>
  <c r="H77" i="26"/>
  <c r="H78" i="26"/>
  <c r="H79"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7" i="26"/>
  <c r="H108" i="26"/>
  <c r="H109" i="26"/>
  <c r="H110" i="26"/>
  <c r="H111" i="26"/>
  <c r="H112" i="26"/>
  <c r="H113" i="26"/>
  <c r="H114" i="26"/>
  <c r="H116" i="26"/>
  <c r="H117" i="26"/>
  <c r="H119" i="26"/>
  <c r="H120" i="26"/>
  <c r="H121" i="26"/>
  <c r="H122" i="26"/>
  <c r="H123" i="26"/>
  <c r="H124" i="26"/>
  <c r="H125" i="26"/>
  <c r="H126" i="26"/>
  <c r="H127" i="26"/>
  <c r="H128" i="26"/>
  <c r="H129" i="26"/>
  <c r="H130" i="26"/>
  <c r="H131" i="26"/>
  <c r="H132" i="26"/>
  <c r="H133" i="26"/>
  <c r="H136" i="26"/>
  <c r="H137" i="26"/>
  <c r="H138" i="26"/>
  <c r="H139" i="26"/>
  <c r="H140" i="26"/>
  <c r="H141" i="26"/>
  <c r="H142" i="26"/>
  <c r="H143" i="26"/>
  <c r="H144" i="26"/>
  <c r="H145" i="26"/>
  <c r="H146" i="26"/>
  <c r="H148" i="26"/>
  <c r="H149" i="26"/>
  <c r="H150" i="26"/>
  <c r="H151" i="26"/>
  <c r="H152" i="26"/>
  <c r="H153" i="26"/>
  <c r="H154" i="26"/>
  <c r="H155" i="26"/>
  <c r="H156" i="26"/>
  <c r="H157" i="26"/>
  <c r="H158" i="26"/>
  <c r="H159" i="26"/>
  <c r="H160" i="26"/>
  <c r="H162" i="26"/>
  <c r="H163" i="26"/>
  <c r="H165" i="26"/>
  <c r="H166" i="26"/>
  <c r="H167" i="26"/>
  <c r="H168" i="26"/>
  <c r="H169" i="26"/>
  <c r="H170" i="26"/>
  <c r="H171" i="26"/>
  <c r="H172" i="26"/>
  <c r="H173" i="26"/>
  <c r="H174" i="26"/>
  <c r="H175" i="26"/>
  <c r="H176" i="26"/>
  <c r="H177" i="26"/>
  <c r="H178" i="26"/>
  <c r="H179" i="26"/>
  <c r="H180" i="26"/>
  <c r="H181" i="26"/>
  <c r="H182" i="26"/>
  <c r="H183" i="26"/>
  <c r="H185" i="26"/>
  <c r="H186" i="26"/>
  <c r="H187" i="26"/>
  <c r="H188" i="26"/>
  <c r="H189" i="26"/>
  <c r="H190" i="26"/>
  <c r="H191" i="26"/>
  <c r="H192" i="26"/>
  <c r="H193" i="26"/>
  <c r="H194" i="26"/>
  <c r="H195" i="26"/>
  <c r="H196" i="26"/>
  <c r="H197" i="26"/>
  <c r="H198" i="26"/>
  <c r="H199" i="26"/>
  <c r="H200" i="26"/>
  <c r="H201" i="26"/>
  <c r="H202" i="26"/>
  <c r="H209" i="26"/>
  <c r="H210" i="26"/>
  <c r="G209" i="26"/>
  <c r="G210" i="26"/>
  <c r="FU205" i="26"/>
  <c r="FT205" i="26"/>
  <c r="FS205" i="26"/>
  <c r="FR205" i="26"/>
  <c r="EJ203" i="26"/>
  <c r="CR203" i="26"/>
  <c r="CS203" i="26"/>
  <c r="CT203" i="26"/>
  <c r="CU203" i="26"/>
  <c r="DX203" i="26"/>
  <c r="CL203" i="26"/>
  <c r="CM203" i="26"/>
  <c r="CN203" i="26"/>
  <c r="CO203" i="26"/>
  <c r="BN203" i="26"/>
  <c r="BR203" i="26"/>
  <c r="DW203" i="26"/>
  <c r="BY203" i="26"/>
  <c r="CB203" i="26"/>
  <c r="CD203" i="26"/>
  <c r="CG203" i="26"/>
  <c r="DV203" i="26"/>
  <c r="BO203" i="26"/>
  <c r="BS203" i="26"/>
  <c r="BU203" i="26"/>
  <c r="BV203" i="26"/>
  <c r="BW203" i="26"/>
  <c r="DU203" i="26"/>
  <c r="BG203" i="26"/>
  <c r="DT203" i="26"/>
  <c r="AA203" i="26"/>
  <c r="AB203" i="26"/>
  <c r="AC203" i="26"/>
  <c r="AD203" i="26"/>
  <c r="AE203" i="26"/>
  <c r="AF203" i="26"/>
  <c r="AG203" i="26"/>
  <c r="AI203" i="26"/>
  <c r="AJ203" i="26"/>
  <c r="AK203" i="26"/>
  <c r="AL203" i="26"/>
  <c r="AM203" i="26"/>
  <c r="AN203" i="26"/>
  <c r="AP203" i="26"/>
  <c r="AQ203" i="26"/>
  <c r="AR203" i="26"/>
  <c r="AS203" i="26"/>
  <c r="AT203" i="26"/>
  <c r="AU203" i="26"/>
  <c r="AW203" i="26"/>
  <c r="AX203" i="26"/>
  <c r="AY203" i="26"/>
  <c r="AZ203" i="26"/>
  <c r="DS203" i="26"/>
  <c r="DR203" i="26"/>
  <c r="CZ203" i="26"/>
  <c r="CY203" i="26"/>
  <c r="CX203" i="26"/>
  <c r="CF203" i="26"/>
  <c r="CE203" i="26"/>
  <c r="CA203" i="26"/>
  <c r="BZ203" i="26"/>
  <c r="O203" i="26"/>
  <c r="H203" i="26"/>
  <c r="I203" i="26"/>
  <c r="K203" i="26"/>
  <c r="EJ202" i="26"/>
  <c r="AQ202" i="26"/>
  <c r="AR202" i="26"/>
  <c r="AS202" i="26"/>
  <c r="AT202" i="26"/>
  <c r="AU202" i="26"/>
  <c r="AW202" i="26"/>
  <c r="AX202" i="26"/>
  <c r="AY202" i="26"/>
  <c r="AZ202" i="26"/>
  <c r="DS202" i="26"/>
  <c r="CZ202" i="26"/>
  <c r="CY202" i="26"/>
  <c r="CR202" i="26"/>
  <c r="CN202" i="26"/>
  <c r="CM202" i="26"/>
  <c r="CG202" i="26"/>
  <c r="CF202" i="26"/>
  <c r="CE202" i="26"/>
  <c r="CD202" i="26"/>
  <c r="BZ202" i="26"/>
  <c r="BV202" i="26"/>
  <c r="P202" i="26"/>
  <c r="O202" i="26"/>
  <c r="I202" i="26"/>
  <c r="K202" i="26"/>
  <c r="EJ201" i="26"/>
  <c r="AQ201" i="26"/>
  <c r="AR201" i="26"/>
  <c r="AS201" i="26"/>
  <c r="AT201" i="26"/>
  <c r="AU201" i="26"/>
  <c r="AW201" i="26"/>
  <c r="AX201" i="26"/>
  <c r="AY201" i="26"/>
  <c r="AZ201" i="26"/>
  <c r="DS201" i="26"/>
  <c r="CZ201" i="26"/>
  <c r="CY201" i="26"/>
  <c r="CR201" i="26"/>
  <c r="CN201" i="26"/>
  <c r="CM201" i="26"/>
  <c r="CG201" i="26"/>
  <c r="CF201" i="26"/>
  <c r="CE201" i="26"/>
  <c r="CD201" i="26"/>
  <c r="BZ201" i="26"/>
  <c r="BV201" i="26"/>
  <c r="I201" i="26"/>
  <c r="K201" i="26"/>
  <c r="EJ200" i="26"/>
  <c r="CR200" i="26"/>
  <c r="DX200" i="26"/>
  <c r="CM200" i="26"/>
  <c r="CN200" i="26"/>
  <c r="DW200" i="26"/>
  <c r="CD200" i="26"/>
  <c r="CG200" i="26"/>
  <c r="DV200" i="26"/>
  <c r="BV200" i="26"/>
  <c r="DU200" i="26"/>
  <c r="DT200" i="26"/>
  <c r="AQ200" i="26"/>
  <c r="AR200" i="26"/>
  <c r="AS200" i="26"/>
  <c r="AT200" i="26"/>
  <c r="AU200" i="26"/>
  <c r="AW200" i="26"/>
  <c r="AX200" i="26"/>
  <c r="AY200" i="26"/>
  <c r="AZ200" i="26"/>
  <c r="DS200" i="26"/>
  <c r="DR200" i="26"/>
  <c r="CZ200" i="26"/>
  <c r="CY200" i="26"/>
  <c r="CF200" i="26"/>
  <c r="CE200" i="26"/>
  <c r="BZ200" i="26"/>
  <c r="P200" i="26"/>
  <c r="O200" i="26"/>
  <c r="I200" i="26"/>
  <c r="K200" i="26"/>
  <c r="EJ199" i="26"/>
  <c r="CR199" i="26"/>
  <c r="DX199" i="26"/>
  <c r="CM199" i="26"/>
  <c r="CN199" i="26"/>
  <c r="DW199" i="26"/>
  <c r="CD199" i="26"/>
  <c r="CG199" i="26"/>
  <c r="DV199" i="26"/>
  <c r="BV199" i="26"/>
  <c r="DU199" i="26"/>
  <c r="DT199" i="26"/>
  <c r="AQ199" i="26"/>
  <c r="AR199" i="26"/>
  <c r="AS199" i="26"/>
  <c r="AT199" i="26"/>
  <c r="AU199" i="26"/>
  <c r="AW199" i="26"/>
  <c r="AX199" i="26"/>
  <c r="AY199" i="26"/>
  <c r="AZ199" i="26"/>
  <c r="DS199" i="26"/>
  <c r="DR199" i="26"/>
  <c r="CZ199" i="26"/>
  <c r="CY199" i="26"/>
  <c r="CF199" i="26"/>
  <c r="CE199" i="26"/>
  <c r="BZ199" i="26"/>
  <c r="P199" i="26"/>
  <c r="O199" i="26"/>
  <c r="I199" i="26"/>
  <c r="K199" i="26"/>
  <c r="EJ198" i="26"/>
  <c r="AQ198" i="26"/>
  <c r="AR198" i="26"/>
  <c r="AS198" i="26"/>
  <c r="AT198" i="26"/>
  <c r="AU198" i="26"/>
  <c r="AW198" i="26"/>
  <c r="AX198" i="26"/>
  <c r="AY198" i="26"/>
  <c r="AZ198" i="26"/>
  <c r="DS198" i="26"/>
  <c r="CZ198" i="26"/>
  <c r="CY198" i="26"/>
  <c r="CR198" i="26"/>
  <c r="CN198" i="26"/>
  <c r="CM198" i="26"/>
  <c r="CG198" i="26"/>
  <c r="CF198" i="26"/>
  <c r="CE198" i="26"/>
  <c r="CD198" i="26"/>
  <c r="BZ198" i="26"/>
  <c r="BV198" i="26"/>
  <c r="O198" i="26"/>
  <c r="I198" i="26"/>
  <c r="K198" i="26"/>
  <c r="EJ197" i="26"/>
  <c r="AQ197" i="26"/>
  <c r="AR197" i="26"/>
  <c r="AS197" i="26"/>
  <c r="AT197" i="26"/>
  <c r="AU197" i="26"/>
  <c r="AW197" i="26"/>
  <c r="AX197" i="26"/>
  <c r="AY197" i="26"/>
  <c r="AZ197" i="26"/>
  <c r="DS197" i="26"/>
  <c r="CZ197" i="26"/>
  <c r="CY197" i="26"/>
  <c r="CR197" i="26"/>
  <c r="CN197" i="26"/>
  <c r="CM197" i="26"/>
  <c r="CG197" i="26"/>
  <c r="CF197" i="26"/>
  <c r="CE197" i="26"/>
  <c r="CD197" i="26"/>
  <c r="BZ197" i="26"/>
  <c r="BV197" i="26"/>
  <c r="O197" i="26"/>
  <c r="I197" i="26"/>
  <c r="K197" i="26"/>
  <c r="EJ196" i="26"/>
  <c r="CR196" i="26"/>
  <c r="DX196" i="26"/>
  <c r="CM196" i="26"/>
  <c r="CN196" i="26"/>
  <c r="DW196" i="26"/>
  <c r="CD196" i="26"/>
  <c r="CG196" i="26"/>
  <c r="DV196" i="26"/>
  <c r="BV196" i="26"/>
  <c r="DU196" i="26"/>
  <c r="DT196" i="26"/>
  <c r="AQ196" i="26"/>
  <c r="AR196" i="26"/>
  <c r="AS196" i="26"/>
  <c r="AT196" i="26"/>
  <c r="AU196" i="26"/>
  <c r="AW196" i="26"/>
  <c r="AX196" i="26"/>
  <c r="AY196" i="26"/>
  <c r="AZ196" i="26"/>
  <c r="DS196" i="26"/>
  <c r="DR196" i="26"/>
  <c r="CZ196" i="26"/>
  <c r="CY196" i="26"/>
  <c r="CF196" i="26"/>
  <c r="CE196" i="26"/>
  <c r="BZ196" i="26"/>
  <c r="P196" i="26"/>
  <c r="O196" i="26"/>
  <c r="I196" i="26"/>
  <c r="K196" i="26"/>
  <c r="EJ195" i="26"/>
  <c r="AQ195" i="26"/>
  <c r="AR195" i="26"/>
  <c r="AS195" i="26"/>
  <c r="AT195" i="26"/>
  <c r="AU195" i="26"/>
  <c r="AW195" i="26"/>
  <c r="AX195" i="26"/>
  <c r="AY195" i="26"/>
  <c r="AZ195" i="26"/>
  <c r="DS195" i="26"/>
  <c r="CZ195" i="26"/>
  <c r="CY195" i="26"/>
  <c r="CR195" i="26"/>
  <c r="CN195" i="26"/>
  <c r="CM195" i="26"/>
  <c r="CG195" i="26"/>
  <c r="CF195" i="26"/>
  <c r="CE195" i="26"/>
  <c r="CD195" i="26"/>
  <c r="BZ195" i="26"/>
  <c r="BV195" i="26"/>
  <c r="O195" i="26"/>
  <c r="I195" i="26"/>
  <c r="K195" i="26"/>
  <c r="EJ194" i="26"/>
  <c r="AQ194" i="26"/>
  <c r="AR194" i="26"/>
  <c r="AS194" i="26"/>
  <c r="AT194" i="26"/>
  <c r="AU194" i="26"/>
  <c r="AW194" i="26"/>
  <c r="AX194" i="26"/>
  <c r="AY194" i="26"/>
  <c r="AZ194" i="26"/>
  <c r="DS194" i="26"/>
  <c r="CZ194" i="26"/>
  <c r="CY194" i="26"/>
  <c r="CR194" i="26"/>
  <c r="CN194" i="26"/>
  <c r="CM194" i="26"/>
  <c r="CG194" i="26"/>
  <c r="CF194" i="26"/>
  <c r="CE194" i="26"/>
  <c r="CD194" i="26"/>
  <c r="BZ194" i="26"/>
  <c r="BV194" i="26"/>
  <c r="P194" i="26"/>
  <c r="O194" i="26"/>
  <c r="I194" i="26"/>
  <c r="K194" i="26"/>
  <c r="EJ193" i="26"/>
  <c r="AQ193" i="26"/>
  <c r="AR193" i="26"/>
  <c r="AS193" i="26"/>
  <c r="AT193" i="26"/>
  <c r="AU193" i="26"/>
  <c r="AW193" i="26"/>
  <c r="AX193" i="26"/>
  <c r="AY193" i="26"/>
  <c r="AZ193" i="26"/>
  <c r="DS193" i="26"/>
  <c r="CZ193" i="26"/>
  <c r="CY193" i="26"/>
  <c r="CR193" i="26"/>
  <c r="CN193" i="26"/>
  <c r="CM193" i="26"/>
  <c r="CG193" i="26"/>
  <c r="CF193" i="26"/>
  <c r="CE193" i="26"/>
  <c r="CD193" i="26"/>
  <c r="BZ193" i="26"/>
  <c r="BV193" i="26"/>
  <c r="O193" i="26"/>
  <c r="I193" i="26"/>
  <c r="K193" i="26"/>
  <c r="EJ192" i="26"/>
  <c r="AQ192" i="26"/>
  <c r="AR192" i="26"/>
  <c r="AS192" i="26"/>
  <c r="AT192" i="26"/>
  <c r="AU192" i="26"/>
  <c r="AW192" i="26"/>
  <c r="AX192" i="26"/>
  <c r="AY192" i="26"/>
  <c r="AZ192" i="26"/>
  <c r="DS192" i="26"/>
  <c r="CZ192" i="26"/>
  <c r="CY192" i="26"/>
  <c r="CR192" i="26"/>
  <c r="CN192" i="26"/>
  <c r="CM192" i="26"/>
  <c r="CG192" i="26"/>
  <c r="CF192" i="26"/>
  <c r="CE192" i="26"/>
  <c r="CD192" i="26"/>
  <c r="BZ192" i="26"/>
  <c r="BV192" i="26"/>
  <c r="O192" i="26"/>
  <c r="I192" i="26"/>
  <c r="K192" i="26"/>
  <c r="EJ191" i="26"/>
  <c r="AQ191" i="26"/>
  <c r="AR191" i="26"/>
  <c r="AS191" i="26"/>
  <c r="AT191" i="26"/>
  <c r="AU191" i="26"/>
  <c r="AW191" i="26"/>
  <c r="AX191" i="26"/>
  <c r="AY191" i="26"/>
  <c r="AZ191" i="26"/>
  <c r="DS191" i="26"/>
  <c r="CZ191" i="26"/>
  <c r="CY191" i="26"/>
  <c r="CR191" i="26"/>
  <c r="CN191" i="26"/>
  <c r="CM191" i="26"/>
  <c r="CG191" i="26"/>
  <c r="CF191" i="26"/>
  <c r="CE191" i="26"/>
  <c r="CD191" i="26"/>
  <c r="BZ191" i="26"/>
  <c r="BV191" i="26"/>
  <c r="O191" i="26"/>
  <c r="I191" i="26"/>
  <c r="K191" i="26"/>
  <c r="EJ190" i="26"/>
  <c r="AQ190" i="26"/>
  <c r="AR190" i="26"/>
  <c r="AS190" i="26"/>
  <c r="AT190" i="26"/>
  <c r="AU190" i="26"/>
  <c r="AW190" i="26"/>
  <c r="AX190" i="26"/>
  <c r="AY190" i="26"/>
  <c r="AZ190" i="26"/>
  <c r="DS190" i="26"/>
  <c r="CZ190" i="26"/>
  <c r="CY190" i="26"/>
  <c r="CR190" i="26"/>
  <c r="CN190" i="26"/>
  <c r="CM190" i="26"/>
  <c r="CG190" i="26"/>
  <c r="CF190" i="26"/>
  <c r="CE190" i="26"/>
  <c r="CD190" i="26"/>
  <c r="BZ190" i="26"/>
  <c r="BV190" i="26"/>
  <c r="O190" i="26"/>
  <c r="I190" i="26"/>
  <c r="K190" i="26"/>
  <c r="EJ189" i="26"/>
  <c r="AQ189" i="26"/>
  <c r="AR189" i="26"/>
  <c r="AS189" i="26"/>
  <c r="AT189" i="26"/>
  <c r="AU189" i="26"/>
  <c r="AW189" i="26"/>
  <c r="AX189" i="26"/>
  <c r="AY189" i="26"/>
  <c r="AZ189" i="26"/>
  <c r="DS189" i="26"/>
  <c r="CZ189" i="26"/>
  <c r="CY189" i="26"/>
  <c r="CR189" i="26"/>
  <c r="CN189" i="26"/>
  <c r="CM189" i="26"/>
  <c r="CG189" i="26"/>
  <c r="CF189" i="26"/>
  <c r="CE189" i="26"/>
  <c r="CD189" i="26"/>
  <c r="BZ189" i="26"/>
  <c r="BV189" i="26"/>
  <c r="O189" i="26"/>
  <c r="I189" i="26"/>
  <c r="K189" i="26"/>
  <c r="EJ188" i="26"/>
  <c r="CR188" i="26"/>
  <c r="DX188" i="26"/>
  <c r="CM188" i="26"/>
  <c r="CN188" i="26"/>
  <c r="DW188" i="26"/>
  <c r="CD188" i="26"/>
  <c r="CG188" i="26"/>
  <c r="DV188" i="26"/>
  <c r="BV188" i="26"/>
  <c r="DU188" i="26"/>
  <c r="DT188" i="26"/>
  <c r="AQ188" i="26"/>
  <c r="AR188" i="26"/>
  <c r="AS188" i="26"/>
  <c r="AT188" i="26"/>
  <c r="AU188" i="26"/>
  <c r="AW188" i="26"/>
  <c r="AX188" i="26"/>
  <c r="AY188" i="26"/>
  <c r="AZ188" i="26"/>
  <c r="DS188" i="26"/>
  <c r="DR188" i="26"/>
  <c r="CZ188" i="26"/>
  <c r="CY188" i="26"/>
  <c r="CF188" i="26"/>
  <c r="CE188" i="26"/>
  <c r="BZ188" i="26"/>
  <c r="P188" i="26"/>
  <c r="O188" i="26"/>
  <c r="I188" i="26"/>
  <c r="K188" i="26"/>
  <c r="EJ187" i="26"/>
  <c r="CR187" i="26"/>
  <c r="DX187" i="26"/>
  <c r="CM187" i="26"/>
  <c r="CN187" i="26"/>
  <c r="DW187" i="26"/>
  <c r="CD187" i="26"/>
  <c r="CG187" i="26"/>
  <c r="DV187" i="26"/>
  <c r="BV187" i="26"/>
  <c r="DU187" i="26"/>
  <c r="DT187" i="26"/>
  <c r="AQ187" i="26"/>
  <c r="AR187" i="26"/>
  <c r="AS187" i="26"/>
  <c r="AT187" i="26"/>
  <c r="AU187" i="26"/>
  <c r="AW187" i="26"/>
  <c r="AX187" i="26"/>
  <c r="AY187" i="26"/>
  <c r="AZ187" i="26"/>
  <c r="DS187" i="26"/>
  <c r="DR187" i="26"/>
  <c r="CZ187" i="26"/>
  <c r="CY187" i="26"/>
  <c r="CF187" i="26"/>
  <c r="CE187" i="26"/>
  <c r="BZ187" i="26"/>
  <c r="P187" i="26"/>
  <c r="O187" i="26"/>
  <c r="I187" i="26"/>
  <c r="K187" i="26"/>
  <c r="EJ186" i="26"/>
  <c r="AQ186" i="26"/>
  <c r="AR186" i="26"/>
  <c r="AS186" i="26"/>
  <c r="AT186" i="26"/>
  <c r="AU186" i="26"/>
  <c r="AW186" i="26"/>
  <c r="AX186" i="26"/>
  <c r="AY186" i="26"/>
  <c r="AZ186" i="26"/>
  <c r="DS186" i="26"/>
  <c r="CZ186" i="26"/>
  <c r="CY186" i="26"/>
  <c r="CR186" i="26"/>
  <c r="CN186" i="26"/>
  <c r="CM186" i="26"/>
  <c r="CG186" i="26"/>
  <c r="CF186" i="26"/>
  <c r="CE186" i="26"/>
  <c r="CD186" i="26"/>
  <c r="BZ186" i="26"/>
  <c r="BV186" i="26"/>
  <c r="O186" i="26"/>
  <c r="I186" i="26"/>
  <c r="K186" i="26"/>
  <c r="EJ185" i="26"/>
  <c r="AQ185" i="26"/>
  <c r="AR185" i="26"/>
  <c r="AS185" i="26"/>
  <c r="AT185" i="26"/>
  <c r="AU185" i="26"/>
  <c r="AW185" i="26"/>
  <c r="AX185" i="26"/>
  <c r="AY185" i="26"/>
  <c r="AZ185" i="26"/>
  <c r="DS185" i="26"/>
  <c r="CZ185" i="26"/>
  <c r="CY185" i="26"/>
  <c r="CR185" i="26"/>
  <c r="CN185" i="26"/>
  <c r="CM185" i="26"/>
  <c r="CG185" i="26"/>
  <c r="CF185" i="26"/>
  <c r="CE185" i="26"/>
  <c r="CD185" i="26"/>
  <c r="BZ185" i="26"/>
  <c r="BV185" i="26"/>
  <c r="O185" i="26"/>
  <c r="I185" i="26"/>
  <c r="K185" i="26"/>
  <c r="EJ184" i="26"/>
  <c r="CR184" i="26"/>
  <c r="DX184" i="26"/>
  <c r="CM184" i="26"/>
  <c r="CN184" i="26"/>
  <c r="DW184" i="26"/>
  <c r="CD184" i="26"/>
  <c r="CG184" i="26"/>
  <c r="DV184" i="26"/>
  <c r="BV184" i="26"/>
  <c r="DU184" i="26"/>
  <c r="DT184" i="26"/>
  <c r="AQ184" i="26"/>
  <c r="AR184" i="26"/>
  <c r="AS184" i="26"/>
  <c r="AT184" i="26"/>
  <c r="AU184" i="26"/>
  <c r="AW184" i="26"/>
  <c r="AX184" i="26"/>
  <c r="AY184" i="26"/>
  <c r="AZ184" i="26"/>
  <c r="DS184" i="26"/>
  <c r="DR184" i="26"/>
  <c r="CZ184" i="26"/>
  <c r="CY184" i="26"/>
  <c r="CF184" i="26"/>
  <c r="CE184" i="26"/>
  <c r="BZ184" i="26"/>
  <c r="P184" i="26"/>
  <c r="O184" i="26"/>
  <c r="I184" i="26"/>
  <c r="K184" i="26"/>
  <c r="EJ183" i="26"/>
  <c r="CR183" i="26"/>
  <c r="DX183" i="26"/>
  <c r="CM183" i="26"/>
  <c r="CN183" i="26"/>
  <c r="DW183" i="26"/>
  <c r="CD183" i="26"/>
  <c r="CG183" i="26"/>
  <c r="DV183" i="26"/>
  <c r="BV183" i="26"/>
  <c r="DU183" i="26"/>
  <c r="DT183" i="26"/>
  <c r="AQ183" i="26"/>
  <c r="AR183" i="26"/>
  <c r="AS183" i="26"/>
  <c r="AT183" i="26"/>
  <c r="AU183" i="26"/>
  <c r="AW183" i="26"/>
  <c r="AX183" i="26"/>
  <c r="AY183" i="26"/>
  <c r="AZ183" i="26"/>
  <c r="DS183" i="26"/>
  <c r="DR183" i="26"/>
  <c r="CZ183" i="26"/>
  <c r="CY183" i="26"/>
  <c r="CF183" i="26"/>
  <c r="CE183" i="26"/>
  <c r="BZ183" i="26"/>
  <c r="P183" i="26"/>
  <c r="O183" i="26"/>
  <c r="I183" i="26"/>
  <c r="K183" i="26"/>
  <c r="EJ182" i="26"/>
  <c r="CR182" i="26"/>
  <c r="DX182" i="26"/>
  <c r="CM182" i="26"/>
  <c r="CN182" i="26"/>
  <c r="DW182" i="26"/>
  <c r="CD182" i="26"/>
  <c r="CG182" i="26"/>
  <c r="DV182" i="26"/>
  <c r="BV182" i="26"/>
  <c r="DU182" i="26"/>
  <c r="DT182" i="26"/>
  <c r="AQ182" i="26"/>
  <c r="AR182" i="26"/>
  <c r="AS182" i="26"/>
  <c r="AT182" i="26"/>
  <c r="AU182" i="26"/>
  <c r="AW182" i="26"/>
  <c r="AX182" i="26"/>
  <c r="AY182" i="26"/>
  <c r="AZ182" i="26"/>
  <c r="DS182" i="26"/>
  <c r="DR182" i="26"/>
  <c r="CZ182" i="26"/>
  <c r="CY182" i="26"/>
  <c r="CF182" i="26"/>
  <c r="CE182" i="26"/>
  <c r="BZ182" i="26"/>
  <c r="P182" i="26"/>
  <c r="O182" i="26"/>
  <c r="I182" i="26"/>
  <c r="K182" i="26"/>
  <c r="EJ181" i="26"/>
  <c r="AQ181" i="26"/>
  <c r="AR181" i="26"/>
  <c r="AS181" i="26"/>
  <c r="AT181" i="26"/>
  <c r="AU181" i="26"/>
  <c r="AW181" i="26"/>
  <c r="AX181" i="26"/>
  <c r="AY181" i="26"/>
  <c r="AZ181" i="26"/>
  <c r="DS181" i="26"/>
  <c r="CZ181" i="26"/>
  <c r="CY181" i="26"/>
  <c r="CR181" i="26"/>
  <c r="CN181" i="26"/>
  <c r="CM181" i="26"/>
  <c r="CG181" i="26"/>
  <c r="CF181" i="26"/>
  <c r="CE181" i="26"/>
  <c r="CD181" i="26"/>
  <c r="BZ181" i="26"/>
  <c r="BV181" i="26"/>
  <c r="O181" i="26"/>
  <c r="I181" i="26"/>
  <c r="K181" i="26"/>
  <c r="EJ180" i="26"/>
  <c r="CR180" i="26"/>
  <c r="DX180" i="26"/>
  <c r="CM180" i="26"/>
  <c r="CN180" i="26"/>
  <c r="DW180" i="26"/>
  <c r="CD180" i="26"/>
  <c r="CG180" i="26"/>
  <c r="DV180" i="26"/>
  <c r="BV180" i="26"/>
  <c r="DU180" i="26"/>
  <c r="DT180" i="26"/>
  <c r="AQ180" i="26"/>
  <c r="AR180" i="26"/>
  <c r="AS180" i="26"/>
  <c r="AT180" i="26"/>
  <c r="AU180" i="26"/>
  <c r="AW180" i="26"/>
  <c r="AX180" i="26"/>
  <c r="AY180" i="26"/>
  <c r="AZ180" i="26"/>
  <c r="DS180" i="26"/>
  <c r="DR180" i="26"/>
  <c r="CZ180" i="26"/>
  <c r="CY180" i="26"/>
  <c r="CF180" i="26"/>
  <c r="CE180" i="26"/>
  <c r="BZ180" i="26"/>
  <c r="P180" i="26"/>
  <c r="O180" i="26"/>
  <c r="I180" i="26"/>
  <c r="K180" i="26"/>
  <c r="EJ179" i="26"/>
  <c r="AQ179" i="26"/>
  <c r="AR179" i="26"/>
  <c r="AS179" i="26"/>
  <c r="AT179" i="26"/>
  <c r="AU179" i="26"/>
  <c r="AW179" i="26"/>
  <c r="AX179" i="26"/>
  <c r="AY179" i="26"/>
  <c r="AZ179" i="26"/>
  <c r="DS179" i="26"/>
  <c r="CZ179" i="26"/>
  <c r="CY179" i="26"/>
  <c r="CR179" i="26"/>
  <c r="CN179" i="26"/>
  <c r="CM179" i="26"/>
  <c r="CG179" i="26"/>
  <c r="CF179" i="26"/>
  <c r="CE179" i="26"/>
  <c r="CD179" i="26"/>
  <c r="BZ179" i="26"/>
  <c r="BV179" i="26"/>
  <c r="P179" i="26"/>
  <c r="O179" i="26"/>
  <c r="I179" i="26"/>
  <c r="K179" i="26"/>
  <c r="EJ178" i="26"/>
  <c r="AQ178" i="26"/>
  <c r="AR178" i="26"/>
  <c r="AS178" i="26"/>
  <c r="AT178" i="26"/>
  <c r="AU178" i="26"/>
  <c r="AW178" i="26"/>
  <c r="AX178" i="26"/>
  <c r="AY178" i="26"/>
  <c r="AZ178" i="26"/>
  <c r="DS178" i="26"/>
  <c r="CZ178" i="26"/>
  <c r="CY178" i="26"/>
  <c r="CR178" i="26"/>
  <c r="CN178" i="26"/>
  <c r="CM178" i="26"/>
  <c r="CG178" i="26"/>
  <c r="CF178" i="26"/>
  <c r="CE178" i="26"/>
  <c r="CD178" i="26"/>
  <c r="BZ178" i="26"/>
  <c r="BV178" i="26"/>
  <c r="O178" i="26"/>
  <c r="I178" i="26"/>
  <c r="K178" i="26"/>
  <c r="EJ177" i="26"/>
  <c r="AQ177" i="26"/>
  <c r="AR177" i="26"/>
  <c r="AS177" i="26"/>
  <c r="AT177" i="26"/>
  <c r="AU177" i="26"/>
  <c r="AW177" i="26"/>
  <c r="AX177" i="26"/>
  <c r="AY177" i="26"/>
  <c r="AZ177" i="26"/>
  <c r="DS177" i="26"/>
  <c r="CZ177" i="26"/>
  <c r="CY177" i="26"/>
  <c r="CR177" i="26"/>
  <c r="CN177" i="26"/>
  <c r="CM177" i="26"/>
  <c r="CG177" i="26"/>
  <c r="CF177" i="26"/>
  <c r="CE177" i="26"/>
  <c r="CD177" i="26"/>
  <c r="BZ177" i="26"/>
  <c r="BV177" i="26"/>
  <c r="O177" i="26"/>
  <c r="I177" i="26"/>
  <c r="K177" i="26"/>
  <c r="EJ176" i="26"/>
  <c r="CR176" i="26"/>
  <c r="DX176" i="26"/>
  <c r="CM176" i="26"/>
  <c r="CN176" i="26"/>
  <c r="DW176" i="26"/>
  <c r="CD176" i="26"/>
  <c r="CG176" i="26"/>
  <c r="DV176" i="26"/>
  <c r="BV176" i="26"/>
  <c r="DU176" i="26"/>
  <c r="DT176" i="26"/>
  <c r="AQ176" i="26"/>
  <c r="AR176" i="26"/>
  <c r="AS176" i="26"/>
  <c r="AT176" i="26"/>
  <c r="AU176" i="26"/>
  <c r="AW176" i="26"/>
  <c r="AX176" i="26"/>
  <c r="AY176" i="26"/>
  <c r="AZ176" i="26"/>
  <c r="DS176" i="26"/>
  <c r="DR176" i="26"/>
  <c r="CZ176" i="26"/>
  <c r="CY176" i="26"/>
  <c r="CF176" i="26"/>
  <c r="CE176" i="26"/>
  <c r="BZ176" i="26"/>
  <c r="P176" i="26"/>
  <c r="O176" i="26"/>
  <c r="I176" i="26"/>
  <c r="K176" i="26"/>
  <c r="EJ175" i="26"/>
  <c r="AQ175" i="26"/>
  <c r="AR175" i="26"/>
  <c r="AS175" i="26"/>
  <c r="AT175" i="26"/>
  <c r="AU175" i="26"/>
  <c r="AW175" i="26"/>
  <c r="AX175" i="26"/>
  <c r="AY175" i="26"/>
  <c r="AZ175" i="26"/>
  <c r="DS175" i="26"/>
  <c r="CZ175" i="26"/>
  <c r="CY175" i="26"/>
  <c r="CR175" i="26"/>
  <c r="CN175" i="26"/>
  <c r="CM175" i="26"/>
  <c r="CG175" i="26"/>
  <c r="CF175" i="26"/>
  <c r="CE175" i="26"/>
  <c r="CD175" i="26"/>
  <c r="BZ175" i="26"/>
  <c r="BV175" i="26"/>
  <c r="P175" i="26"/>
  <c r="O175" i="26"/>
  <c r="I175" i="26"/>
  <c r="K175" i="26"/>
  <c r="EJ174" i="26"/>
  <c r="AQ174" i="26"/>
  <c r="AR174" i="26"/>
  <c r="AS174" i="26"/>
  <c r="AT174" i="26"/>
  <c r="AU174" i="26"/>
  <c r="AW174" i="26"/>
  <c r="AX174" i="26"/>
  <c r="AY174" i="26"/>
  <c r="AZ174" i="26"/>
  <c r="DS174" i="26"/>
  <c r="CZ174" i="26"/>
  <c r="CY174" i="26"/>
  <c r="CR174" i="26"/>
  <c r="CN174" i="26"/>
  <c r="CM174" i="26"/>
  <c r="CG174" i="26"/>
  <c r="CF174" i="26"/>
  <c r="CE174" i="26"/>
  <c r="CD174" i="26"/>
  <c r="BZ174" i="26"/>
  <c r="BV174" i="26"/>
  <c r="O174" i="26"/>
  <c r="I174" i="26"/>
  <c r="K174" i="26"/>
  <c r="EJ173" i="26"/>
  <c r="CR173" i="26"/>
  <c r="DX173" i="26"/>
  <c r="CM173" i="26"/>
  <c r="CN173" i="26"/>
  <c r="DW173" i="26"/>
  <c r="CD173" i="26"/>
  <c r="CG173" i="26"/>
  <c r="DV173" i="26"/>
  <c r="BV173" i="26"/>
  <c r="DU173" i="26"/>
  <c r="DT173" i="26"/>
  <c r="AQ173" i="26"/>
  <c r="AR173" i="26"/>
  <c r="AS173" i="26"/>
  <c r="AT173" i="26"/>
  <c r="AU173" i="26"/>
  <c r="AW173" i="26"/>
  <c r="AX173" i="26"/>
  <c r="AY173" i="26"/>
  <c r="AZ173" i="26"/>
  <c r="DS173" i="26"/>
  <c r="DR173" i="26"/>
  <c r="CZ173" i="26"/>
  <c r="CY173" i="26"/>
  <c r="CF173" i="26"/>
  <c r="CE173" i="26"/>
  <c r="BZ173" i="26"/>
  <c r="P173" i="26"/>
  <c r="O173" i="26"/>
  <c r="I173" i="26"/>
  <c r="K173" i="26"/>
  <c r="EJ172" i="26"/>
  <c r="CR172" i="26"/>
  <c r="DX172" i="26"/>
  <c r="CM172" i="26"/>
  <c r="CN172" i="26"/>
  <c r="DW172" i="26"/>
  <c r="CD172" i="26"/>
  <c r="CG172" i="26"/>
  <c r="DV172" i="26"/>
  <c r="BV172" i="26"/>
  <c r="DU172" i="26"/>
  <c r="DT172" i="26"/>
  <c r="AQ172" i="26"/>
  <c r="AR172" i="26"/>
  <c r="AS172" i="26"/>
  <c r="AT172" i="26"/>
  <c r="AU172" i="26"/>
  <c r="AW172" i="26"/>
  <c r="AX172" i="26"/>
  <c r="AY172" i="26"/>
  <c r="AZ172" i="26"/>
  <c r="DS172" i="26"/>
  <c r="DR172" i="26"/>
  <c r="CZ172" i="26"/>
  <c r="CY172" i="26"/>
  <c r="CF172" i="26"/>
  <c r="CE172" i="26"/>
  <c r="BZ172" i="26"/>
  <c r="P172" i="26"/>
  <c r="O172" i="26"/>
  <c r="I172" i="26"/>
  <c r="K172" i="26"/>
  <c r="EJ171" i="26"/>
  <c r="AQ171" i="26"/>
  <c r="AR171" i="26"/>
  <c r="AS171" i="26"/>
  <c r="AT171" i="26"/>
  <c r="AU171" i="26"/>
  <c r="AW171" i="26"/>
  <c r="AX171" i="26"/>
  <c r="AY171" i="26"/>
  <c r="AZ171" i="26"/>
  <c r="DS171" i="26"/>
  <c r="CZ171" i="26"/>
  <c r="CY171" i="26"/>
  <c r="CR171" i="26"/>
  <c r="CN171" i="26"/>
  <c r="CM171" i="26"/>
  <c r="CG171" i="26"/>
  <c r="CF171" i="26"/>
  <c r="CE171" i="26"/>
  <c r="CD171" i="26"/>
  <c r="BZ171" i="26"/>
  <c r="BV171" i="26"/>
  <c r="P171" i="26"/>
  <c r="O171" i="26"/>
  <c r="I171" i="26"/>
  <c r="K171" i="26"/>
  <c r="EJ170" i="26"/>
  <c r="AQ170" i="26"/>
  <c r="AR170" i="26"/>
  <c r="AS170" i="26"/>
  <c r="AT170" i="26"/>
  <c r="AU170" i="26"/>
  <c r="AW170" i="26"/>
  <c r="AX170" i="26"/>
  <c r="AY170" i="26"/>
  <c r="AZ170" i="26"/>
  <c r="DS170" i="26"/>
  <c r="CZ170" i="26"/>
  <c r="CY170" i="26"/>
  <c r="CR170" i="26"/>
  <c r="CN170" i="26"/>
  <c r="CM170" i="26"/>
  <c r="CG170" i="26"/>
  <c r="CF170" i="26"/>
  <c r="CE170" i="26"/>
  <c r="CD170" i="26"/>
  <c r="BZ170" i="26"/>
  <c r="BV170" i="26"/>
  <c r="O170" i="26"/>
  <c r="I170" i="26"/>
  <c r="K170" i="26"/>
  <c r="EJ169" i="26"/>
  <c r="AQ169" i="26"/>
  <c r="AR169" i="26"/>
  <c r="AS169" i="26"/>
  <c r="AT169" i="26"/>
  <c r="AU169" i="26"/>
  <c r="AW169" i="26"/>
  <c r="AX169" i="26"/>
  <c r="AY169" i="26"/>
  <c r="AZ169" i="26"/>
  <c r="DS169" i="26"/>
  <c r="CZ169" i="26"/>
  <c r="CY169" i="26"/>
  <c r="CR169" i="26"/>
  <c r="CN169" i="26"/>
  <c r="CM169" i="26"/>
  <c r="CG169" i="26"/>
  <c r="CF169" i="26"/>
  <c r="CE169" i="26"/>
  <c r="CD169" i="26"/>
  <c r="BZ169" i="26"/>
  <c r="BV169" i="26"/>
  <c r="O169" i="26"/>
  <c r="I169" i="26"/>
  <c r="K169" i="26"/>
  <c r="EJ168" i="26"/>
  <c r="AQ168" i="26"/>
  <c r="AR168" i="26"/>
  <c r="AS168" i="26"/>
  <c r="AT168" i="26"/>
  <c r="AU168" i="26"/>
  <c r="AW168" i="26"/>
  <c r="AX168" i="26"/>
  <c r="AY168" i="26"/>
  <c r="AZ168" i="26"/>
  <c r="DS168" i="26"/>
  <c r="CZ168" i="26"/>
  <c r="CY168" i="26"/>
  <c r="CR168" i="26"/>
  <c r="CN168" i="26"/>
  <c r="CM168" i="26"/>
  <c r="CG168" i="26"/>
  <c r="CF168" i="26"/>
  <c r="CE168" i="26"/>
  <c r="CD168" i="26"/>
  <c r="BZ168" i="26"/>
  <c r="BV168" i="26"/>
  <c r="O168" i="26"/>
  <c r="I168" i="26"/>
  <c r="K168" i="26"/>
  <c r="EJ167" i="26"/>
  <c r="CR167" i="26"/>
  <c r="DX167" i="26"/>
  <c r="CM167" i="26"/>
  <c r="CN167" i="26"/>
  <c r="DW167" i="26"/>
  <c r="CD167" i="26"/>
  <c r="CG167" i="26"/>
  <c r="DV167" i="26"/>
  <c r="BV167" i="26"/>
  <c r="DU167" i="26"/>
  <c r="DT167" i="26"/>
  <c r="AQ167" i="26"/>
  <c r="AR167" i="26"/>
  <c r="AS167" i="26"/>
  <c r="AT167" i="26"/>
  <c r="AU167" i="26"/>
  <c r="AW167" i="26"/>
  <c r="AX167" i="26"/>
  <c r="AY167" i="26"/>
  <c r="AZ167" i="26"/>
  <c r="DS167" i="26"/>
  <c r="DR167" i="26"/>
  <c r="CZ167" i="26"/>
  <c r="CY167" i="26"/>
  <c r="CF167" i="26"/>
  <c r="CE167" i="26"/>
  <c r="BZ167" i="26"/>
  <c r="P167" i="26"/>
  <c r="O167" i="26"/>
  <c r="I167" i="26"/>
  <c r="K167" i="26"/>
  <c r="EJ166" i="26"/>
  <c r="AQ166" i="26"/>
  <c r="AR166" i="26"/>
  <c r="AS166" i="26"/>
  <c r="AT166" i="26"/>
  <c r="AU166" i="26"/>
  <c r="AW166" i="26"/>
  <c r="AX166" i="26"/>
  <c r="AY166" i="26"/>
  <c r="AZ166" i="26"/>
  <c r="DS166" i="26"/>
  <c r="CZ166" i="26"/>
  <c r="CY166" i="26"/>
  <c r="CR166" i="26"/>
  <c r="CN166" i="26"/>
  <c r="CM166" i="26"/>
  <c r="CG166" i="26"/>
  <c r="CF166" i="26"/>
  <c r="CE166" i="26"/>
  <c r="CD166" i="26"/>
  <c r="BZ166" i="26"/>
  <c r="BV166" i="26"/>
  <c r="O166" i="26"/>
  <c r="I166" i="26"/>
  <c r="K166" i="26"/>
  <c r="EJ165" i="26"/>
  <c r="CR165" i="26"/>
  <c r="DX165" i="26"/>
  <c r="CM165" i="26"/>
  <c r="CN165" i="26"/>
  <c r="DW165" i="26"/>
  <c r="CD165" i="26"/>
  <c r="CG165" i="26"/>
  <c r="DV165" i="26"/>
  <c r="BV165" i="26"/>
  <c r="DU165" i="26"/>
  <c r="DT165" i="26"/>
  <c r="AQ165" i="26"/>
  <c r="AR165" i="26"/>
  <c r="AS165" i="26"/>
  <c r="AT165" i="26"/>
  <c r="AU165" i="26"/>
  <c r="AW165" i="26"/>
  <c r="AX165" i="26"/>
  <c r="AY165" i="26"/>
  <c r="AZ165" i="26"/>
  <c r="DS165" i="26"/>
  <c r="DR165" i="26"/>
  <c r="CZ165" i="26"/>
  <c r="CY165" i="26"/>
  <c r="CF165" i="26"/>
  <c r="CE165" i="26"/>
  <c r="BZ165" i="26"/>
  <c r="P165" i="26"/>
  <c r="O165" i="26"/>
  <c r="I165" i="26"/>
  <c r="K165" i="26"/>
  <c r="EJ164" i="26"/>
  <c r="CR164" i="26"/>
  <c r="DX164" i="26"/>
  <c r="CM164" i="26"/>
  <c r="CN164" i="26"/>
  <c r="DW164" i="26"/>
  <c r="CD164" i="26"/>
  <c r="CG164" i="26"/>
  <c r="DV164" i="26"/>
  <c r="BV164" i="26"/>
  <c r="DU164" i="26"/>
  <c r="DT164" i="26"/>
  <c r="AQ164" i="26"/>
  <c r="AR164" i="26"/>
  <c r="AS164" i="26"/>
  <c r="AT164" i="26"/>
  <c r="AU164" i="26"/>
  <c r="AW164" i="26"/>
  <c r="AX164" i="26"/>
  <c r="AY164" i="26"/>
  <c r="AZ164" i="26"/>
  <c r="DS164" i="26"/>
  <c r="DR164" i="26"/>
  <c r="CZ164" i="26"/>
  <c r="CY164" i="26"/>
  <c r="CF164" i="26"/>
  <c r="CE164" i="26"/>
  <c r="BZ164" i="26"/>
  <c r="P164" i="26"/>
  <c r="O164" i="26"/>
  <c r="I164" i="26"/>
  <c r="K164" i="26"/>
  <c r="EJ163" i="26"/>
  <c r="AQ163" i="26"/>
  <c r="AR163" i="26"/>
  <c r="AS163" i="26"/>
  <c r="AT163" i="26"/>
  <c r="AU163" i="26"/>
  <c r="AW163" i="26"/>
  <c r="AX163" i="26"/>
  <c r="AY163" i="26"/>
  <c r="AZ163" i="26"/>
  <c r="DS163" i="26"/>
  <c r="CZ163" i="26"/>
  <c r="CY163" i="26"/>
  <c r="CR163" i="26"/>
  <c r="CN163" i="26"/>
  <c r="CM163" i="26"/>
  <c r="CG163" i="26"/>
  <c r="CF163" i="26"/>
  <c r="CE163" i="26"/>
  <c r="CD163" i="26"/>
  <c r="BZ163" i="26"/>
  <c r="BV163" i="26"/>
  <c r="O163" i="26"/>
  <c r="I163" i="26"/>
  <c r="K163" i="26"/>
  <c r="EJ162" i="26"/>
  <c r="CR162" i="26"/>
  <c r="DX162" i="26"/>
  <c r="CM162" i="26"/>
  <c r="CN162" i="26"/>
  <c r="DW162" i="26"/>
  <c r="CD162" i="26"/>
  <c r="CG162" i="26"/>
  <c r="DV162" i="26"/>
  <c r="BV162" i="26"/>
  <c r="DU162" i="26"/>
  <c r="DT162" i="26"/>
  <c r="AQ162" i="26"/>
  <c r="AR162" i="26"/>
  <c r="AS162" i="26"/>
  <c r="AT162" i="26"/>
  <c r="AU162" i="26"/>
  <c r="AW162" i="26"/>
  <c r="AX162" i="26"/>
  <c r="AY162" i="26"/>
  <c r="AZ162" i="26"/>
  <c r="DS162" i="26"/>
  <c r="DR162" i="26"/>
  <c r="CZ162" i="26"/>
  <c r="CY162" i="26"/>
  <c r="CF162" i="26"/>
  <c r="CE162" i="26"/>
  <c r="BZ162" i="26"/>
  <c r="P162" i="26"/>
  <c r="O162" i="26"/>
  <c r="I162" i="26"/>
  <c r="K162" i="26"/>
  <c r="EJ161" i="26"/>
  <c r="CR161" i="26"/>
  <c r="DX161" i="26"/>
  <c r="CM161" i="26"/>
  <c r="CN161" i="26"/>
  <c r="DW161" i="26"/>
  <c r="CD161" i="26"/>
  <c r="CG161" i="26"/>
  <c r="DV161" i="26"/>
  <c r="BV161" i="26"/>
  <c r="DU161" i="26"/>
  <c r="DT161" i="26"/>
  <c r="AQ161" i="26"/>
  <c r="AR161" i="26"/>
  <c r="AS161" i="26"/>
  <c r="AT161" i="26"/>
  <c r="AU161" i="26"/>
  <c r="AW161" i="26"/>
  <c r="AX161" i="26"/>
  <c r="AY161" i="26"/>
  <c r="AZ161" i="26"/>
  <c r="DS161" i="26"/>
  <c r="DR161" i="26"/>
  <c r="CZ161" i="26"/>
  <c r="CY161" i="26"/>
  <c r="CF161" i="26"/>
  <c r="CE161" i="26"/>
  <c r="BZ161" i="26"/>
  <c r="P161" i="26"/>
  <c r="O161" i="26"/>
  <c r="I161" i="26"/>
  <c r="K161" i="26"/>
  <c r="EJ160" i="26"/>
  <c r="AQ160" i="26"/>
  <c r="AR160" i="26"/>
  <c r="AS160" i="26"/>
  <c r="AT160" i="26"/>
  <c r="AU160" i="26"/>
  <c r="AW160" i="26"/>
  <c r="AX160" i="26"/>
  <c r="AY160" i="26"/>
  <c r="AZ160" i="26"/>
  <c r="DS160" i="26"/>
  <c r="CZ160" i="26"/>
  <c r="CY160" i="26"/>
  <c r="CR160" i="26"/>
  <c r="CN160" i="26"/>
  <c r="CM160" i="26"/>
  <c r="CG160" i="26"/>
  <c r="CF160" i="26"/>
  <c r="CE160" i="26"/>
  <c r="CD160" i="26"/>
  <c r="BZ160" i="26"/>
  <c r="BV160" i="26"/>
  <c r="O160" i="26"/>
  <c r="I160" i="26"/>
  <c r="K160" i="26"/>
  <c r="EJ159" i="26"/>
  <c r="DT159" i="26"/>
  <c r="AQ159" i="26"/>
  <c r="AR159" i="26"/>
  <c r="AS159" i="26"/>
  <c r="AT159" i="26"/>
  <c r="AU159" i="26"/>
  <c r="AW159" i="26"/>
  <c r="AX159" i="26"/>
  <c r="AY159" i="26"/>
  <c r="AZ159" i="26"/>
  <c r="DS159" i="26"/>
  <c r="CZ159" i="26"/>
  <c r="CY159" i="26"/>
  <c r="CR159" i="26"/>
  <c r="CN159" i="26"/>
  <c r="CM159" i="26"/>
  <c r="CG159" i="26"/>
  <c r="CF159" i="26"/>
  <c r="CE159" i="26"/>
  <c r="CD159" i="26"/>
  <c r="BZ159" i="26"/>
  <c r="BV159" i="26"/>
  <c r="O159" i="26"/>
  <c r="I159" i="26"/>
  <c r="K159" i="26"/>
  <c r="EJ158" i="26"/>
  <c r="AQ158" i="26"/>
  <c r="AR158" i="26"/>
  <c r="AS158" i="26"/>
  <c r="AT158" i="26"/>
  <c r="AU158" i="26"/>
  <c r="AW158" i="26"/>
  <c r="AX158" i="26"/>
  <c r="AY158" i="26"/>
  <c r="AZ158" i="26"/>
  <c r="DS158" i="26"/>
  <c r="CZ158" i="26"/>
  <c r="CY158" i="26"/>
  <c r="CR158" i="26"/>
  <c r="CN158" i="26"/>
  <c r="CM158" i="26"/>
  <c r="CG158" i="26"/>
  <c r="CF158" i="26"/>
  <c r="CE158" i="26"/>
  <c r="CD158" i="26"/>
  <c r="BZ158" i="26"/>
  <c r="BV158" i="26"/>
  <c r="O158" i="26"/>
  <c r="I158" i="26"/>
  <c r="K158" i="26"/>
  <c r="EJ157" i="26"/>
  <c r="DT157" i="26"/>
  <c r="AQ157" i="26"/>
  <c r="AR157" i="26"/>
  <c r="AS157" i="26"/>
  <c r="AT157" i="26"/>
  <c r="AU157" i="26"/>
  <c r="AW157" i="26"/>
  <c r="AX157" i="26"/>
  <c r="AY157" i="26"/>
  <c r="AZ157" i="26"/>
  <c r="DS157" i="26"/>
  <c r="CZ157" i="26"/>
  <c r="CY157" i="26"/>
  <c r="CR157" i="26"/>
  <c r="CN157" i="26"/>
  <c r="CM157" i="26"/>
  <c r="CG157" i="26"/>
  <c r="CF157" i="26"/>
  <c r="CE157" i="26"/>
  <c r="CD157" i="26"/>
  <c r="BZ157" i="26"/>
  <c r="BV157" i="26"/>
  <c r="O157" i="26"/>
  <c r="I157" i="26"/>
  <c r="K157" i="26"/>
  <c r="EJ156" i="26"/>
  <c r="DT156" i="26"/>
  <c r="AQ156" i="26"/>
  <c r="AR156" i="26"/>
  <c r="AS156" i="26"/>
  <c r="AT156" i="26"/>
  <c r="AU156" i="26"/>
  <c r="AW156" i="26"/>
  <c r="AX156" i="26"/>
  <c r="AY156" i="26"/>
  <c r="AZ156" i="26"/>
  <c r="DS156" i="26"/>
  <c r="CZ156" i="26"/>
  <c r="CY156" i="26"/>
  <c r="CR156" i="26"/>
  <c r="CN156" i="26"/>
  <c r="CM156" i="26"/>
  <c r="CG156" i="26"/>
  <c r="CF156" i="26"/>
  <c r="CE156" i="26"/>
  <c r="CD156" i="26"/>
  <c r="BZ156" i="26"/>
  <c r="BV156" i="26"/>
  <c r="O156" i="26"/>
  <c r="I156" i="26"/>
  <c r="K156" i="26"/>
  <c r="EJ155" i="26"/>
  <c r="DT155" i="26"/>
  <c r="AQ155" i="26"/>
  <c r="AR155" i="26"/>
  <c r="AS155" i="26"/>
  <c r="AT155" i="26"/>
  <c r="AU155" i="26"/>
  <c r="AW155" i="26"/>
  <c r="AX155" i="26"/>
  <c r="AY155" i="26"/>
  <c r="AZ155" i="26"/>
  <c r="DS155" i="26"/>
  <c r="CZ155" i="26"/>
  <c r="CY155" i="26"/>
  <c r="CR155" i="26"/>
  <c r="CN155" i="26"/>
  <c r="CM155" i="26"/>
  <c r="CG155" i="26"/>
  <c r="CF155" i="26"/>
  <c r="CE155" i="26"/>
  <c r="CD155" i="26"/>
  <c r="BZ155" i="26"/>
  <c r="BV155" i="26"/>
  <c r="O155" i="26"/>
  <c r="I155" i="26"/>
  <c r="K155" i="26"/>
  <c r="EJ154" i="26"/>
  <c r="AQ154" i="26"/>
  <c r="AR154" i="26"/>
  <c r="AS154" i="26"/>
  <c r="AT154" i="26"/>
  <c r="AU154" i="26"/>
  <c r="AW154" i="26"/>
  <c r="AX154" i="26"/>
  <c r="AY154" i="26"/>
  <c r="AZ154" i="26"/>
  <c r="DS154" i="26"/>
  <c r="CZ154" i="26"/>
  <c r="CY154" i="26"/>
  <c r="CR154" i="26"/>
  <c r="CN154" i="26"/>
  <c r="CM154" i="26"/>
  <c r="CG154" i="26"/>
  <c r="CF154" i="26"/>
  <c r="CE154" i="26"/>
  <c r="CD154" i="26"/>
  <c r="BZ154" i="26"/>
  <c r="BV154" i="26"/>
  <c r="O154" i="26"/>
  <c r="I154" i="26"/>
  <c r="K154" i="26"/>
  <c r="EJ153" i="26"/>
  <c r="DT153" i="26"/>
  <c r="AQ153" i="26"/>
  <c r="AR153" i="26"/>
  <c r="AS153" i="26"/>
  <c r="AT153" i="26"/>
  <c r="AU153" i="26"/>
  <c r="AW153" i="26"/>
  <c r="AX153" i="26"/>
  <c r="AY153" i="26"/>
  <c r="AZ153" i="26"/>
  <c r="DS153" i="26"/>
  <c r="CZ153" i="26"/>
  <c r="CY153" i="26"/>
  <c r="CR153" i="26"/>
  <c r="CN153" i="26"/>
  <c r="CM153" i="26"/>
  <c r="CG153" i="26"/>
  <c r="CF153" i="26"/>
  <c r="CE153" i="26"/>
  <c r="CD153" i="26"/>
  <c r="BZ153" i="26"/>
  <c r="BV153" i="26"/>
  <c r="O153" i="26"/>
  <c r="I153" i="26"/>
  <c r="K153" i="26"/>
  <c r="EJ152" i="26"/>
  <c r="AQ152" i="26"/>
  <c r="AR152" i="26"/>
  <c r="AS152" i="26"/>
  <c r="AT152" i="26"/>
  <c r="AU152" i="26"/>
  <c r="AW152" i="26"/>
  <c r="AX152" i="26"/>
  <c r="AY152" i="26"/>
  <c r="AZ152" i="26"/>
  <c r="DS152" i="26"/>
  <c r="CZ152" i="26"/>
  <c r="CY152" i="26"/>
  <c r="CR152" i="26"/>
  <c r="CN152" i="26"/>
  <c r="CM152" i="26"/>
  <c r="CG152" i="26"/>
  <c r="CF152" i="26"/>
  <c r="CE152" i="26"/>
  <c r="CD152" i="26"/>
  <c r="BZ152" i="26"/>
  <c r="BV152" i="26"/>
  <c r="O152" i="26"/>
  <c r="I152" i="26"/>
  <c r="K152" i="26"/>
  <c r="EJ151" i="26"/>
  <c r="AQ151" i="26"/>
  <c r="AR151" i="26"/>
  <c r="AS151" i="26"/>
  <c r="AT151" i="26"/>
  <c r="AU151" i="26"/>
  <c r="AW151" i="26"/>
  <c r="AX151" i="26"/>
  <c r="AY151" i="26"/>
  <c r="AZ151" i="26"/>
  <c r="DS151" i="26"/>
  <c r="CZ151" i="26"/>
  <c r="CY151" i="26"/>
  <c r="CR151" i="26"/>
  <c r="CN151" i="26"/>
  <c r="CM151" i="26"/>
  <c r="CG151" i="26"/>
  <c r="CF151" i="26"/>
  <c r="CE151" i="26"/>
  <c r="CD151" i="26"/>
  <c r="BZ151" i="26"/>
  <c r="BV151" i="26"/>
  <c r="P151" i="26"/>
  <c r="O151" i="26"/>
  <c r="I151" i="26"/>
  <c r="K151" i="26"/>
  <c r="EJ150" i="26"/>
  <c r="AQ150" i="26"/>
  <c r="AR150" i="26"/>
  <c r="AS150" i="26"/>
  <c r="AT150" i="26"/>
  <c r="AU150" i="26"/>
  <c r="AW150" i="26"/>
  <c r="AX150" i="26"/>
  <c r="AY150" i="26"/>
  <c r="AZ150" i="26"/>
  <c r="DS150" i="26"/>
  <c r="CZ150" i="26"/>
  <c r="CY150" i="26"/>
  <c r="CR150" i="26"/>
  <c r="CN150" i="26"/>
  <c r="CM150" i="26"/>
  <c r="CG150" i="26"/>
  <c r="CF150" i="26"/>
  <c r="CE150" i="26"/>
  <c r="CD150" i="26"/>
  <c r="BZ150" i="26"/>
  <c r="BV150" i="26"/>
  <c r="P150" i="26"/>
  <c r="O150" i="26"/>
  <c r="I150" i="26"/>
  <c r="K150" i="26"/>
  <c r="EJ149" i="26"/>
  <c r="CR149" i="26"/>
  <c r="DX149" i="26"/>
  <c r="CM149" i="26"/>
  <c r="CN149" i="26"/>
  <c r="DW149" i="26"/>
  <c r="CD149" i="26"/>
  <c r="CG149" i="26"/>
  <c r="DV149" i="26"/>
  <c r="BV149" i="26"/>
  <c r="DU149" i="26"/>
  <c r="DT149" i="26"/>
  <c r="AQ149" i="26"/>
  <c r="AR149" i="26"/>
  <c r="AS149" i="26"/>
  <c r="AT149" i="26"/>
  <c r="AU149" i="26"/>
  <c r="AW149" i="26"/>
  <c r="AX149" i="26"/>
  <c r="AY149" i="26"/>
  <c r="AZ149" i="26"/>
  <c r="DS149" i="26"/>
  <c r="DR149" i="26"/>
  <c r="CZ149" i="26"/>
  <c r="CY149" i="26"/>
  <c r="CF149" i="26"/>
  <c r="CE149" i="26"/>
  <c r="BZ149" i="26"/>
  <c r="P149" i="26"/>
  <c r="O149" i="26"/>
  <c r="I149" i="26"/>
  <c r="K149" i="26"/>
  <c r="EJ148" i="26"/>
  <c r="DT148" i="26"/>
  <c r="AQ148" i="26"/>
  <c r="AR148" i="26"/>
  <c r="AS148" i="26"/>
  <c r="AT148" i="26"/>
  <c r="AU148" i="26"/>
  <c r="AW148" i="26"/>
  <c r="AX148" i="26"/>
  <c r="AY148" i="26"/>
  <c r="AZ148" i="26"/>
  <c r="DS148" i="26"/>
  <c r="CZ148" i="26"/>
  <c r="CY148" i="26"/>
  <c r="CR148" i="26"/>
  <c r="CN148" i="26"/>
  <c r="CM148" i="26"/>
  <c r="CG148" i="26"/>
  <c r="CF148" i="26"/>
  <c r="CE148" i="26"/>
  <c r="CD148" i="26"/>
  <c r="BZ148" i="26"/>
  <c r="BV148" i="26"/>
  <c r="O148" i="26"/>
  <c r="I148" i="26"/>
  <c r="K148" i="26"/>
  <c r="EJ147" i="26"/>
  <c r="CR147" i="26"/>
  <c r="DX147" i="26"/>
  <c r="CM147" i="26"/>
  <c r="CN147" i="26"/>
  <c r="DW147" i="26"/>
  <c r="CD147" i="26"/>
  <c r="CG147" i="26"/>
  <c r="DV147" i="26"/>
  <c r="BV147" i="26"/>
  <c r="DU147" i="26"/>
  <c r="DT147" i="26"/>
  <c r="AQ147" i="26"/>
  <c r="AR147" i="26"/>
  <c r="AS147" i="26"/>
  <c r="AT147" i="26"/>
  <c r="AU147" i="26"/>
  <c r="AW147" i="26"/>
  <c r="AX147" i="26"/>
  <c r="AY147" i="26"/>
  <c r="AZ147" i="26"/>
  <c r="DS147" i="26"/>
  <c r="DR147" i="26"/>
  <c r="CZ147" i="26"/>
  <c r="CY147" i="26"/>
  <c r="CF147" i="26"/>
  <c r="CE147" i="26"/>
  <c r="BZ147" i="26"/>
  <c r="P147" i="26"/>
  <c r="O147" i="26"/>
  <c r="I147" i="26"/>
  <c r="K147" i="26"/>
  <c r="EJ146" i="26"/>
  <c r="AQ146" i="26"/>
  <c r="AR146" i="26"/>
  <c r="AS146" i="26"/>
  <c r="AT146" i="26"/>
  <c r="AU146" i="26"/>
  <c r="AW146" i="26"/>
  <c r="AX146" i="26"/>
  <c r="AY146" i="26"/>
  <c r="AZ146" i="26"/>
  <c r="DS146" i="26"/>
  <c r="CZ146" i="26"/>
  <c r="CY146" i="26"/>
  <c r="CR146" i="26"/>
  <c r="CN146" i="26"/>
  <c r="CM146" i="26"/>
  <c r="CG146" i="26"/>
  <c r="CF146" i="26"/>
  <c r="CE146" i="26"/>
  <c r="CD146" i="26"/>
  <c r="BZ146" i="26"/>
  <c r="BV146" i="26"/>
  <c r="P146" i="26"/>
  <c r="O146" i="26"/>
  <c r="I146" i="26"/>
  <c r="K146" i="26"/>
  <c r="EJ145" i="26"/>
  <c r="CR145" i="26"/>
  <c r="DX145" i="26"/>
  <c r="CM145" i="26"/>
  <c r="CN145" i="26"/>
  <c r="DW145" i="26"/>
  <c r="CD145" i="26"/>
  <c r="CG145" i="26"/>
  <c r="DV145" i="26"/>
  <c r="BV145" i="26"/>
  <c r="DU145" i="26"/>
  <c r="DT145" i="26"/>
  <c r="AQ145" i="26"/>
  <c r="AR145" i="26"/>
  <c r="AS145" i="26"/>
  <c r="AT145" i="26"/>
  <c r="AU145" i="26"/>
  <c r="AW145" i="26"/>
  <c r="AX145" i="26"/>
  <c r="AY145" i="26"/>
  <c r="AZ145" i="26"/>
  <c r="DS145" i="26"/>
  <c r="DR145" i="26"/>
  <c r="CZ145" i="26"/>
  <c r="CY145" i="26"/>
  <c r="CF145" i="26"/>
  <c r="CE145" i="26"/>
  <c r="BZ145" i="26"/>
  <c r="P145" i="26"/>
  <c r="O145" i="26"/>
  <c r="I145" i="26"/>
  <c r="K145" i="26"/>
  <c r="EJ144" i="26"/>
  <c r="CR144" i="26"/>
  <c r="DX144" i="26"/>
  <c r="CM144" i="26"/>
  <c r="CN144" i="26"/>
  <c r="DW144" i="26"/>
  <c r="CD144" i="26"/>
  <c r="CG144" i="26"/>
  <c r="DV144" i="26"/>
  <c r="BV144" i="26"/>
  <c r="DU144" i="26"/>
  <c r="DT144" i="26"/>
  <c r="AQ144" i="26"/>
  <c r="AR144" i="26"/>
  <c r="AS144" i="26"/>
  <c r="AT144" i="26"/>
  <c r="AU144" i="26"/>
  <c r="AW144" i="26"/>
  <c r="AX144" i="26"/>
  <c r="AY144" i="26"/>
  <c r="AZ144" i="26"/>
  <c r="DS144" i="26"/>
  <c r="DR144" i="26"/>
  <c r="CZ144" i="26"/>
  <c r="CY144" i="26"/>
  <c r="CF144" i="26"/>
  <c r="CE144" i="26"/>
  <c r="BZ144" i="26"/>
  <c r="P144" i="26"/>
  <c r="O144" i="26"/>
  <c r="I144" i="26"/>
  <c r="K144" i="26"/>
  <c r="EJ143" i="26"/>
  <c r="CR143" i="26"/>
  <c r="DX143" i="26"/>
  <c r="CM143" i="26"/>
  <c r="CN143" i="26"/>
  <c r="DW143" i="26"/>
  <c r="CD143" i="26"/>
  <c r="CG143" i="26"/>
  <c r="DV143" i="26"/>
  <c r="BV143" i="26"/>
  <c r="DU143" i="26"/>
  <c r="DT143" i="26"/>
  <c r="AQ143" i="26"/>
  <c r="AR143" i="26"/>
  <c r="AS143" i="26"/>
  <c r="AT143" i="26"/>
  <c r="AU143" i="26"/>
  <c r="AW143" i="26"/>
  <c r="AX143" i="26"/>
  <c r="AY143" i="26"/>
  <c r="AZ143" i="26"/>
  <c r="DS143" i="26"/>
  <c r="DR143" i="26"/>
  <c r="CZ143" i="26"/>
  <c r="CY143" i="26"/>
  <c r="CF143" i="26"/>
  <c r="CE143" i="26"/>
  <c r="BZ143" i="26"/>
  <c r="P143" i="26"/>
  <c r="O143" i="26"/>
  <c r="I143" i="26"/>
  <c r="K143" i="26"/>
  <c r="EJ142" i="26"/>
  <c r="CR142" i="26"/>
  <c r="DX142" i="26"/>
  <c r="CM142" i="26"/>
  <c r="CN142" i="26"/>
  <c r="DW142" i="26"/>
  <c r="CD142" i="26"/>
  <c r="CG142" i="26"/>
  <c r="DV142" i="26"/>
  <c r="BV142" i="26"/>
  <c r="DU142" i="26"/>
  <c r="DT142" i="26"/>
  <c r="AQ142" i="26"/>
  <c r="AR142" i="26"/>
  <c r="AS142" i="26"/>
  <c r="AT142" i="26"/>
  <c r="AU142" i="26"/>
  <c r="AW142" i="26"/>
  <c r="AX142" i="26"/>
  <c r="AY142" i="26"/>
  <c r="AZ142" i="26"/>
  <c r="DS142" i="26"/>
  <c r="DR142" i="26"/>
  <c r="CZ142" i="26"/>
  <c r="CY142" i="26"/>
  <c r="CF142" i="26"/>
  <c r="CE142" i="26"/>
  <c r="BZ142" i="26"/>
  <c r="P142" i="26"/>
  <c r="O142" i="26"/>
  <c r="I142" i="26"/>
  <c r="K142" i="26"/>
  <c r="EJ141" i="26"/>
  <c r="CR141" i="26"/>
  <c r="DX141" i="26"/>
  <c r="CM141" i="26"/>
  <c r="CN141" i="26"/>
  <c r="DW141" i="26"/>
  <c r="CD141" i="26"/>
  <c r="CG141" i="26"/>
  <c r="DV141" i="26"/>
  <c r="BV141" i="26"/>
  <c r="DU141" i="26"/>
  <c r="DT141" i="26"/>
  <c r="AQ141" i="26"/>
  <c r="AR141" i="26"/>
  <c r="AS141" i="26"/>
  <c r="AT141" i="26"/>
  <c r="AU141" i="26"/>
  <c r="AW141" i="26"/>
  <c r="AX141" i="26"/>
  <c r="AY141" i="26"/>
  <c r="AZ141" i="26"/>
  <c r="DS141" i="26"/>
  <c r="DR141" i="26"/>
  <c r="CZ141" i="26"/>
  <c r="CY141" i="26"/>
  <c r="CF141" i="26"/>
  <c r="CE141" i="26"/>
  <c r="BZ141" i="26"/>
  <c r="P141" i="26"/>
  <c r="O141" i="26"/>
  <c r="I141" i="26"/>
  <c r="K141" i="26"/>
  <c r="EJ140" i="26"/>
  <c r="DT140" i="26"/>
  <c r="AQ140" i="26"/>
  <c r="AR140" i="26"/>
  <c r="AS140" i="26"/>
  <c r="AT140" i="26"/>
  <c r="AU140" i="26"/>
  <c r="AW140" i="26"/>
  <c r="AX140" i="26"/>
  <c r="AY140" i="26"/>
  <c r="AZ140" i="26"/>
  <c r="DS140" i="26"/>
  <c r="CZ140" i="26"/>
  <c r="CY140" i="26"/>
  <c r="CR140" i="26"/>
  <c r="CN140" i="26"/>
  <c r="CM140" i="26"/>
  <c r="CG140" i="26"/>
  <c r="CF140" i="26"/>
  <c r="CE140" i="26"/>
  <c r="CD140" i="26"/>
  <c r="BZ140" i="26"/>
  <c r="BV140" i="26"/>
  <c r="O140" i="26"/>
  <c r="I140" i="26"/>
  <c r="K140" i="26"/>
  <c r="EJ139" i="26"/>
  <c r="DT139" i="26"/>
  <c r="AQ139" i="26"/>
  <c r="AR139" i="26"/>
  <c r="AS139" i="26"/>
  <c r="AT139" i="26"/>
  <c r="AU139" i="26"/>
  <c r="AW139" i="26"/>
  <c r="AX139" i="26"/>
  <c r="AY139" i="26"/>
  <c r="AZ139" i="26"/>
  <c r="DS139" i="26"/>
  <c r="CZ139" i="26"/>
  <c r="CY139" i="26"/>
  <c r="CR139" i="26"/>
  <c r="CN139" i="26"/>
  <c r="CM139" i="26"/>
  <c r="CG139" i="26"/>
  <c r="CF139" i="26"/>
  <c r="CE139" i="26"/>
  <c r="CD139" i="26"/>
  <c r="BZ139" i="26"/>
  <c r="BV139" i="26"/>
  <c r="P139" i="26"/>
  <c r="O139" i="26"/>
  <c r="I139" i="26"/>
  <c r="K139" i="26"/>
  <c r="EJ138" i="26"/>
  <c r="DT138" i="26"/>
  <c r="AQ138" i="26"/>
  <c r="AR138" i="26"/>
  <c r="AS138" i="26"/>
  <c r="AT138" i="26"/>
  <c r="AU138" i="26"/>
  <c r="AW138" i="26"/>
  <c r="AX138" i="26"/>
  <c r="AY138" i="26"/>
  <c r="AZ138" i="26"/>
  <c r="DS138" i="26"/>
  <c r="CZ138" i="26"/>
  <c r="CY138" i="26"/>
  <c r="CR138" i="26"/>
  <c r="CN138" i="26"/>
  <c r="CM138" i="26"/>
  <c r="CG138" i="26"/>
  <c r="CF138" i="26"/>
  <c r="CE138" i="26"/>
  <c r="CD138" i="26"/>
  <c r="BZ138" i="26"/>
  <c r="BV138" i="26"/>
  <c r="O138" i="26"/>
  <c r="I138" i="26"/>
  <c r="K138" i="26"/>
  <c r="EJ137" i="26"/>
  <c r="DT137" i="26"/>
  <c r="AQ137" i="26"/>
  <c r="AR137" i="26"/>
  <c r="AS137" i="26"/>
  <c r="AT137" i="26"/>
  <c r="AU137" i="26"/>
  <c r="AW137" i="26"/>
  <c r="AX137" i="26"/>
  <c r="AY137" i="26"/>
  <c r="AZ137" i="26"/>
  <c r="DS137" i="26"/>
  <c r="CZ137" i="26"/>
  <c r="CY137" i="26"/>
  <c r="CR137" i="26"/>
  <c r="CN137" i="26"/>
  <c r="CM137" i="26"/>
  <c r="CG137" i="26"/>
  <c r="CF137" i="26"/>
  <c r="CE137" i="26"/>
  <c r="CD137" i="26"/>
  <c r="BZ137" i="26"/>
  <c r="BV137" i="26"/>
  <c r="P137" i="26"/>
  <c r="O137" i="26"/>
  <c r="I137" i="26"/>
  <c r="K137" i="26"/>
  <c r="EJ136" i="26"/>
  <c r="AQ136" i="26"/>
  <c r="AR136" i="26"/>
  <c r="AS136" i="26"/>
  <c r="AT136" i="26"/>
  <c r="AU136" i="26"/>
  <c r="AW136" i="26"/>
  <c r="AX136" i="26"/>
  <c r="AY136" i="26"/>
  <c r="AZ136" i="26"/>
  <c r="DS136" i="26"/>
  <c r="CZ136" i="26"/>
  <c r="CY136" i="26"/>
  <c r="CR136" i="26"/>
  <c r="CN136" i="26"/>
  <c r="CM136" i="26"/>
  <c r="CG136" i="26"/>
  <c r="CF136" i="26"/>
  <c r="CE136" i="26"/>
  <c r="CD136" i="26"/>
  <c r="BZ136" i="26"/>
  <c r="BV136" i="26"/>
  <c r="O136" i="26"/>
  <c r="I136" i="26"/>
  <c r="K136" i="26"/>
  <c r="EJ135" i="26"/>
  <c r="CR135" i="26"/>
  <c r="DX135" i="26"/>
  <c r="CM135" i="26"/>
  <c r="CN135" i="26"/>
  <c r="DW135" i="26"/>
  <c r="CD135" i="26"/>
  <c r="CG135" i="26"/>
  <c r="DV135" i="26"/>
  <c r="BV135" i="26"/>
  <c r="DU135" i="26"/>
  <c r="DT135" i="26"/>
  <c r="AQ135" i="26"/>
  <c r="AR135" i="26"/>
  <c r="AS135" i="26"/>
  <c r="AT135" i="26"/>
  <c r="AU135" i="26"/>
  <c r="AW135" i="26"/>
  <c r="AX135" i="26"/>
  <c r="AY135" i="26"/>
  <c r="AZ135" i="26"/>
  <c r="DS135" i="26"/>
  <c r="DR135" i="26"/>
  <c r="CZ135" i="26"/>
  <c r="CY135" i="26"/>
  <c r="CF135" i="26"/>
  <c r="CE135" i="26"/>
  <c r="BZ135" i="26"/>
  <c r="P135" i="26"/>
  <c r="O135" i="26"/>
  <c r="I135" i="26"/>
  <c r="K135" i="26"/>
  <c r="EJ134" i="26"/>
  <c r="CR134" i="26"/>
  <c r="DX134" i="26"/>
  <c r="CM134" i="26"/>
  <c r="CN134" i="26"/>
  <c r="DW134" i="26"/>
  <c r="CD134" i="26"/>
  <c r="CG134" i="26"/>
  <c r="DV134" i="26"/>
  <c r="BV134" i="26"/>
  <c r="DU134" i="26"/>
  <c r="DT134" i="26"/>
  <c r="AQ134" i="26"/>
  <c r="AR134" i="26"/>
  <c r="AS134" i="26"/>
  <c r="AT134" i="26"/>
  <c r="AU134" i="26"/>
  <c r="AW134" i="26"/>
  <c r="AX134" i="26"/>
  <c r="AY134" i="26"/>
  <c r="AZ134" i="26"/>
  <c r="DS134" i="26"/>
  <c r="DR134" i="26"/>
  <c r="CZ134" i="26"/>
  <c r="CY134" i="26"/>
  <c r="CF134" i="26"/>
  <c r="CE134" i="26"/>
  <c r="BZ134" i="26"/>
  <c r="P134" i="26"/>
  <c r="O134" i="26"/>
  <c r="I134" i="26"/>
  <c r="K134" i="26"/>
  <c r="EJ133" i="26"/>
  <c r="CR133" i="26"/>
  <c r="DX133" i="26"/>
  <c r="CM133" i="26"/>
  <c r="CN133" i="26"/>
  <c r="DW133" i="26"/>
  <c r="CD133" i="26"/>
  <c r="CG133" i="26"/>
  <c r="DV133" i="26"/>
  <c r="BV133" i="26"/>
  <c r="DU133" i="26"/>
  <c r="DT133" i="26"/>
  <c r="AQ133" i="26"/>
  <c r="AR133" i="26"/>
  <c r="AS133" i="26"/>
  <c r="AT133" i="26"/>
  <c r="AU133" i="26"/>
  <c r="AW133" i="26"/>
  <c r="AX133" i="26"/>
  <c r="AY133" i="26"/>
  <c r="AZ133" i="26"/>
  <c r="DS133" i="26"/>
  <c r="DR133" i="26"/>
  <c r="CZ133" i="26"/>
  <c r="CY133" i="26"/>
  <c r="CF133" i="26"/>
  <c r="CE133" i="26"/>
  <c r="BZ133" i="26"/>
  <c r="P133" i="26"/>
  <c r="O133" i="26"/>
  <c r="I133" i="26"/>
  <c r="K133" i="26"/>
  <c r="EJ132" i="26"/>
  <c r="AQ132" i="26"/>
  <c r="AR132" i="26"/>
  <c r="AS132" i="26"/>
  <c r="AT132" i="26"/>
  <c r="AU132" i="26"/>
  <c r="AW132" i="26"/>
  <c r="AX132" i="26"/>
  <c r="AY132" i="26"/>
  <c r="AZ132" i="26"/>
  <c r="DS132" i="26"/>
  <c r="CZ132" i="26"/>
  <c r="CY132" i="26"/>
  <c r="CR132" i="26"/>
  <c r="CN132" i="26"/>
  <c r="CM132" i="26"/>
  <c r="CG132" i="26"/>
  <c r="CF132" i="26"/>
  <c r="CE132" i="26"/>
  <c r="CD132" i="26"/>
  <c r="BZ132" i="26"/>
  <c r="BV132" i="26"/>
  <c r="P132" i="26"/>
  <c r="O132" i="26"/>
  <c r="I132" i="26"/>
  <c r="K132" i="26"/>
  <c r="EJ131" i="26"/>
  <c r="AQ131" i="26"/>
  <c r="AR131" i="26"/>
  <c r="AS131" i="26"/>
  <c r="AT131" i="26"/>
  <c r="AU131" i="26"/>
  <c r="AW131" i="26"/>
  <c r="AX131" i="26"/>
  <c r="AY131" i="26"/>
  <c r="AZ131" i="26"/>
  <c r="DS131" i="26"/>
  <c r="CZ131" i="26"/>
  <c r="CY131" i="26"/>
  <c r="CR131" i="26"/>
  <c r="CN131" i="26"/>
  <c r="CM131" i="26"/>
  <c r="CG131" i="26"/>
  <c r="CF131" i="26"/>
  <c r="CE131" i="26"/>
  <c r="CD131" i="26"/>
  <c r="BZ131" i="26"/>
  <c r="BV131" i="26"/>
  <c r="O131" i="26"/>
  <c r="I131" i="26"/>
  <c r="K131" i="26"/>
  <c r="EJ130" i="26"/>
  <c r="CR130" i="26"/>
  <c r="DX130" i="26"/>
  <c r="CM130" i="26"/>
  <c r="CN130" i="26"/>
  <c r="DW130" i="26"/>
  <c r="CD130" i="26"/>
  <c r="CG130" i="26"/>
  <c r="DV130" i="26"/>
  <c r="BV130" i="26"/>
  <c r="DU130" i="26"/>
  <c r="DT130" i="26"/>
  <c r="AQ130" i="26"/>
  <c r="AR130" i="26"/>
  <c r="AS130" i="26"/>
  <c r="AT130" i="26"/>
  <c r="AU130" i="26"/>
  <c r="AW130" i="26"/>
  <c r="AX130" i="26"/>
  <c r="AY130" i="26"/>
  <c r="AZ130" i="26"/>
  <c r="DS130" i="26"/>
  <c r="DR130" i="26"/>
  <c r="CZ130" i="26"/>
  <c r="CY130" i="26"/>
  <c r="CF130" i="26"/>
  <c r="CE130" i="26"/>
  <c r="BZ130" i="26"/>
  <c r="P130" i="26"/>
  <c r="O130" i="26"/>
  <c r="I130" i="26"/>
  <c r="K130" i="26"/>
  <c r="EJ129" i="26"/>
  <c r="AQ129" i="26"/>
  <c r="AR129" i="26"/>
  <c r="AS129" i="26"/>
  <c r="AT129" i="26"/>
  <c r="AU129" i="26"/>
  <c r="AW129" i="26"/>
  <c r="AX129" i="26"/>
  <c r="AY129" i="26"/>
  <c r="AZ129" i="26"/>
  <c r="DS129" i="26"/>
  <c r="CZ129" i="26"/>
  <c r="CY129" i="26"/>
  <c r="CR129" i="26"/>
  <c r="CN129" i="26"/>
  <c r="CM129" i="26"/>
  <c r="CG129" i="26"/>
  <c r="CF129" i="26"/>
  <c r="CE129" i="26"/>
  <c r="CD129" i="26"/>
  <c r="BZ129" i="26"/>
  <c r="BV129" i="26"/>
  <c r="O129" i="26"/>
  <c r="I129" i="26"/>
  <c r="K129" i="26"/>
  <c r="EJ128" i="26"/>
  <c r="AQ128" i="26"/>
  <c r="AR128" i="26"/>
  <c r="AS128" i="26"/>
  <c r="AT128" i="26"/>
  <c r="AU128" i="26"/>
  <c r="AW128" i="26"/>
  <c r="AX128" i="26"/>
  <c r="AY128" i="26"/>
  <c r="AZ128" i="26"/>
  <c r="DS128" i="26"/>
  <c r="CZ128" i="26"/>
  <c r="CY128" i="26"/>
  <c r="CR128" i="26"/>
  <c r="CN128" i="26"/>
  <c r="CM128" i="26"/>
  <c r="CG128" i="26"/>
  <c r="CF128" i="26"/>
  <c r="CE128" i="26"/>
  <c r="CD128" i="26"/>
  <c r="BZ128" i="26"/>
  <c r="BV128" i="26"/>
  <c r="O128" i="26"/>
  <c r="I128" i="26"/>
  <c r="K128" i="26"/>
  <c r="EJ127" i="26"/>
  <c r="CR127" i="26"/>
  <c r="DX127" i="26"/>
  <c r="CM127" i="26"/>
  <c r="CN127" i="26"/>
  <c r="DW127" i="26"/>
  <c r="CD127" i="26"/>
  <c r="CG127" i="26"/>
  <c r="DV127" i="26"/>
  <c r="BV127" i="26"/>
  <c r="DU127" i="26"/>
  <c r="DT127" i="26"/>
  <c r="AQ127" i="26"/>
  <c r="AR127" i="26"/>
  <c r="AS127" i="26"/>
  <c r="AT127" i="26"/>
  <c r="AU127" i="26"/>
  <c r="AW127" i="26"/>
  <c r="AX127" i="26"/>
  <c r="AY127" i="26"/>
  <c r="AZ127" i="26"/>
  <c r="DS127" i="26"/>
  <c r="DR127" i="26"/>
  <c r="CZ127" i="26"/>
  <c r="CY127" i="26"/>
  <c r="CF127" i="26"/>
  <c r="CE127" i="26"/>
  <c r="BZ127" i="26"/>
  <c r="P127" i="26"/>
  <c r="O127" i="26"/>
  <c r="I127" i="26"/>
  <c r="K127" i="26"/>
  <c r="EJ126" i="26"/>
  <c r="DT126" i="26"/>
  <c r="AQ126" i="26"/>
  <c r="AR126" i="26"/>
  <c r="AS126" i="26"/>
  <c r="AT126" i="26"/>
  <c r="AU126" i="26"/>
  <c r="AW126" i="26"/>
  <c r="AX126" i="26"/>
  <c r="AY126" i="26"/>
  <c r="AZ126" i="26"/>
  <c r="DS126" i="26"/>
  <c r="CZ126" i="26"/>
  <c r="CY126" i="26"/>
  <c r="CR126" i="26"/>
  <c r="CN126" i="26"/>
  <c r="CM126" i="26"/>
  <c r="CG126" i="26"/>
  <c r="CF126" i="26"/>
  <c r="CE126" i="26"/>
  <c r="CD126" i="26"/>
  <c r="BZ126" i="26"/>
  <c r="BV126" i="26"/>
  <c r="P126" i="26"/>
  <c r="O126" i="26"/>
  <c r="I126" i="26"/>
  <c r="K126" i="26"/>
  <c r="EJ125" i="26"/>
  <c r="CR125" i="26"/>
  <c r="DX125" i="26"/>
  <c r="CM125" i="26"/>
  <c r="CN125" i="26"/>
  <c r="DW125" i="26"/>
  <c r="CD125" i="26"/>
  <c r="CG125" i="26"/>
  <c r="DV125" i="26"/>
  <c r="BV125" i="26"/>
  <c r="DU125" i="26"/>
  <c r="DT125" i="26"/>
  <c r="AQ125" i="26"/>
  <c r="AR125" i="26"/>
  <c r="AS125" i="26"/>
  <c r="AT125" i="26"/>
  <c r="AU125" i="26"/>
  <c r="AW125" i="26"/>
  <c r="AX125" i="26"/>
  <c r="AY125" i="26"/>
  <c r="AZ125" i="26"/>
  <c r="DS125" i="26"/>
  <c r="DR125" i="26"/>
  <c r="CZ125" i="26"/>
  <c r="CY125" i="26"/>
  <c r="CF125" i="26"/>
  <c r="CE125" i="26"/>
  <c r="BZ125" i="26"/>
  <c r="P125" i="26"/>
  <c r="O125" i="26"/>
  <c r="I125" i="26"/>
  <c r="K125" i="26"/>
  <c r="EJ124" i="26"/>
  <c r="AQ124" i="26"/>
  <c r="AR124" i="26"/>
  <c r="AS124" i="26"/>
  <c r="AT124" i="26"/>
  <c r="AU124" i="26"/>
  <c r="AW124" i="26"/>
  <c r="AX124" i="26"/>
  <c r="AY124" i="26"/>
  <c r="AZ124" i="26"/>
  <c r="DS124" i="26"/>
  <c r="CZ124" i="26"/>
  <c r="CY124" i="26"/>
  <c r="CR124" i="26"/>
  <c r="CN124" i="26"/>
  <c r="CM124" i="26"/>
  <c r="CG124" i="26"/>
  <c r="CF124" i="26"/>
  <c r="CE124" i="26"/>
  <c r="CD124" i="26"/>
  <c r="BZ124" i="26"/>
  <c r="BV124" i="26"/>
  <c r="O124" i="26"/>
  <c r="I124" i="26"/>
  <c r="K124" i="26"/>
  <c r="EJ123" i="26"/>
  <c r="CR123" i="26"/>
  <c r="DX123" i="26"/>
  <c r="CM123" i="26"/>
  <c r="CN123" i="26"/>
  <c r="DW123" i="26"/>
  <c r="CD123" i="26"/>
  <c r="CG123" i="26"/>
  <c r="DV123" i="26"/>
  <c r="BV123" i="26"/>
  <c r="DU123" i="26"/>
  <c r="DT123" i="26"/>
  <c r="AQ123" i="26"/>
  <c r="AR123" i="26"/>
  <c r="AS123" i="26"/>
  <c r="AT123" i="26"/>
  <c r="AU123" i="26"/>
  <c r="AW123" i="26"/>
  <c r="AX123" i="26"/>
  <c r="AY123" i="26"/>
  <c r="AZ123" i="26"/>
  <c r="DS123" i="26"/>
  <c r="DR123" i="26"/>
  <c r="CZ123" i="26"/>
  <c r="CY123" i="26"/>
  <c r="CF123" i="26"/>
  <c r="CE123" i="26"/>
  <c r="BZ123" i="26"/>
  <c r="P123" i="26"/>
  <c r="O123" i="26"/>
  <c r="I123" i="26"/>
  <c r="K123" i="26"/>
  <c r="EJ122" i="26"/>
  <c r="AQ122" i="26"/>
  <c r="AR122" i="26"/>
  <c r="AS122" i="26"/>
  <c r="AT122" i="26"/>
  <c r="AU122" i="26"/>
  <c r="AW122" i="26"/>
  <c r="AX122" i="26"/>
  <c r="AY122" i="26"/>
  <c r="AZ122" i="26"/>
  <c r="DS122" i="26"/>
  <c r="CZ122" i="26"/>
  <c r="CY122" i="26"/>
  <c r="CR122" i="26"/>
  <c r="CN122" i="26"/>
  <c r="CM122" i="26"/>
  <c r="CG122" i="26"/>
  <c r="CF122" i="26"/>
  <c r="CE122" i="26"/>
  <c r="CD122" i="26"/>
  <c r="BZ122" i="26"/>
  <c r="BV122" i="26"/>
  <c r="O122" i="26"/>
  <c r="I122" i="26"/>
  <c r="K122" i="26"/>
  <c r="EJ121" i="26"/>
  <c r="AQ121" i="26"/>
  <c r="AR121" i="26"/>
  <c r="AS121" i="26"/>
  <c r="AT121" i="26"/>
  <c r="AU121" i="26"/>
  <c r="AW121" i="26"/>
  <c r="AX121" i="26"/>
  <c r="AY121" i="26"/>
  <c r="AZ121" i="26"/>
  <c r="DS121" i="26"/>
  <c r="CZ121" i="26"/>
  <c r="CY121" i="26"/>
  <c r="CR121" i="26"/>
  <c r="CN121" i="26"/>
  <c r="CM121" i="26"/>
  <c r="CG121" i="26"/>
  <c r="CF121" i="26"/>
  <c r="CE121" i="26"/>
  <c r="CD121" i="26"/>
  <c r="BZ121" i="26"/>
  <c r="BV121" i="26"/>
  <c r="O121" i="26"/>
  <c r="I121" i="26"/>
  <c r="K121" i="26"/>
  <c r="EJ120" i="26"/>
  <c r="CR120" i="26"/>
  <c r="DX120" i="26"/>
  <c r="CM120" i="26"/>
  <c r="CN120" i="26"/>
  <c r="DW120" i="26"/>
  <c r="CD120" i="26"/>
  <c r="CG120" i="26"/>
  <c r="DV120" i="26"/>
  <c r="BV120" i="26"/>
  <c r="DU120" i="26"/>
  <c r="DT120" i="26"/>
  <c r="AQ120" i="26"/>
  <c r="AR120" i="26"/>
  <c r="AS120" i="26"/>
  <c r="AT120" i="26"/>
  <c r="AU120" i="26"/>
  <c r="AW120" i="26"/>
  <c r="AX120" i="26"/>
  <c r="AY120" i="26"/>
  <c r="AZ120" i="26"/>
  <c r="DS120" i="26"/>
  <c r="DR120" i="26"/>
  <c r="CZ120" i="26"/>
  <c r="CY120" i="26"/>
  <c r="CF120" i="26"/>
  <c r="CE120" i="26"/>
  <c r="BZ120" i="26"/>
  <c r="P120" i="26"/>
  <c r="I120" i="26"/>
  <c r="K120" i="26"/>
  <c r="EJ119" i="26"/>
  <c r="DT119" i="26"/>
  <c r="AQ119" i="26"/>
  <c r="AR119" i="26"/>
  <c r="AS119" i="26"/>
  <c r="AT119" i="26"/>
  <c r="AU119" i="26"/>
  <c r="AW119" i="26"/>
  <c r="AX119" i="26"/>
  <c r="AY119" i="26"/>
  <c r="AZ119" i="26"/>
  <c r="DS119" i="26"/>
  <c r="CZ119" i="26"/>
  <c r="CY119" i="26"/>
  <c r="CR119" i="26"/>
  <c r="CN119" i="26"/>
  <c r="CM119" i="26"/>
  <c r="CG119" i="26"/>
  <c r="CF119" i="26"/>
  <c r="CE119" i="26"/>
  <c r="CD119" i="26"/>
  <c r="BZ119" i="26"/>
  <c r="BV119" i="26"/>
  <c r="O119" i="26"/>
  <c r="I119" i="26"/>
  <c r="K119" i="26"/>
  <c r="EJ118" i="26"/>
  <c r="CR118" i="26"/>
  <c r="DX118" i="26"/>
  <c r="CM118" i="26"/>
  <c r="CN118" i="26"/>
  <c r="DW118" i="26"/>
  <c r="CD118" i="26"/>
  <c r="CG118" i="26"/>
  <c r="DV118" i="26"/>
  <c r="BV118" i="26"/>
  <c r="DU118" i="26"/>
  <c r="DT118" i="26"/>
  <c r="AQ118" i="26"/>
  <c r="AR118" i="26"/>
  <c r="AS118" i="26"/>
  <c r="AT118" i="26"/>
  <c r="AU118" i="26"/>
  <c r="AW118" i="26"/>
  <c r="AX118" i="26"/>
  <c r="AY118" i="26"/>
  <c r="AZ118" i="26"/>
  <c r="DS118" i="26"/>
  <c r="DR118" i="26"/>
  <c r="CZ118" i="26"/>
  <c r="CY118" i="26"/>
  <c r="CF118" i="26"/>
  <c r="CE118" i="26"/>
  <c r="BZ118" i="26"/>
  <c r="P118" i="26"/>
  <c r="O118" i="26"/>
  <c r="I118" i="26"/>
  <c r="K118" i="26"/>
  <c r="EJ117" i="26"/>
  <c r="DT117" i="26"/>
  <c r="AQ117" i="26"/>
  <c r="AR117" i="26"/>
  <c r="AS117" i="26"/>
  <c r="AT117" i="26"/>
  <c r="AU117" i="26"/>
  <c r="AW117" i="26"/>
  <c r="AX117" i="26"/>
  <c r="AY117" i="26"/>
  <c r="AZ117" i="26"/>
  <c r="DS117" i="26"/>
  <c r="CZ117" i="26"/>
  <c r="CY117" i="26"/>
  <c r="CR117" i="26"/>
  <c r="CN117" i="26"/>
  <c r="CM117" i="26"/>
  <c r="CG117" i="26"/>
  <c r="CF117" i="26"/>
  <c r="CE117" i="26"/>
  <c r="CD117" i="26"/>
  <c r="BZ117" i="26"/>
  <c r="BV117" i="26"/>
  <c r="O117" i="26"/>
  <c r="I117" i="26"/>
  <c r="K117" i="26"/>
  <c r="EJ116" i="26"/>
  <c r="CR116" i="26"/>
  <c r="DX116" i="26"/>
  <c r="CM116" i="26"/>
  <c r="CN116" i="26"/>
  <c r="DW116" i="26"/>
  <c r="CD116" i="26"/>
  <c r="CG116" i="26"/>
  <c r="DV116" i="26"/>
  <c r="BV116" i="26"/>
  <c r="DU116" i="26"/>
  <c r="DT116" i="26"/>
  <c r="AQ116" i="26"/>
  <c r="AR116" i="26"/>
  <c r="AS116" i="26"/>
  <c r="AT116" i="26"/>
  <c r="AU116" i="26"/>
  <c r="AW116" i="26"/>
  <c r="AX116" i="26"/>
  <c r="AY116" i="26"/>
  <c r="AZ116" i="26"/>
  <c r="DS116" i="26"/>
  <c r="DR116" i="26"/>
  <c r="CZ116" i="26"/>
  <c r="CY116" i="26"/>
  <c r="CF116" i="26"/>
  <c r="CE116" i="26"/>
  <c r="BZ116" i="26"/>
  <c r="P116" i="26"/>
  <c r="O116" i="26"/>
  <c r="I116" i="26"/>
  <c r="K116" i="26"/>
  <c r="EJ115" i="26"/>
  <c r="CR115" i="26"/>
  <c r="DX115" i="26"/>
  <c r="CM115" i="26"/>
  <c r="CN115" i="26"/>
  <c r="DW115" i="26"/>
  <c r="CD115" i="26"/>
  <c r="CG115" i="26"/>
  <c r="DV115" i="26"/>
  <c r="BV115" i="26"/>
  <c r="DU115" i="26"/>
  <c r="DT115" i="26"/>
  <c r="AQ115" i="26"/>
  <c r="AR115" i="26"/>
  <c r="AS115" i="26"/>
  <c r="AT115" i="26"/>
  <c r="AU115" i="26"/>
  <c r="AW115" i="26"/>
  <c r="AX115" i="26"/>
  <c r="AY115" i="26"/>
  <c r="AZ115" i="26"/>
  <c r="DS115" i="26"/>
  <c r="DR115" i="26"/>
  <c r="CZ115" i="26"/>
  <c r="CY115" i="26"/>
  <c r="CF115" i="26"/>
  <c r="CE115" i="26"/>
  <c r="BZ115" i="26"/>
  <c r="P115" i="26"/>
  <c r="O115" i="26"/>
  <c r="I115" i="26"/>
  <c r="K115" i="26"/>
  <c r="EJ114" i="26"/>
  <c r="CR114" i="26"/>
  <c r="DX114" i="26"/>
  <c r="CM114" i="26"/>
  <c r="CN114" i="26"/>
  <c r="DW114" i="26"/>
  <c r="CD114" i="26"/>
  <c r="CG114" i="26"/>
  <c r="DV114" i="26"/>
  <c r="BV114" i="26"/>
  <c r="DU114" i="26"/>
  <c r="DT114" i="26"/>
  <c r="AQ114" i="26"/>
  <c r="AR114" i="26"/>
  <c r="AS114" i="26"/>
  <c r="AT114" i="26"/>
  <c r="AU114" i="26"/>
  <c r="AW114" i="26"/>
  <c r="AX114" i="26"/>
  <c r="AY114" i="26"/>
  <c r="AZ114" i="26"/>
  <c r="DS114" i="26"/>
  <c r="DR114" i="26"/>
  <c r="CZ114" i="26"/>
  <c r="CY114" i="26"/>
  <c r="CF114" i="26"/>
  <c r="CE114" i="26"/>
  <c r="BZ114" i="26"/>
  <c r="P114" i="26"/>
  <c r="O114" i="26"/>
  <c r="I114" i="26"/>
  <c r="K114" i="26"/>
  <c r="EJ113" i="26"/>
  <c r="CR113" i="26"/>
  <c r="DX113" i="26"/>
  <c r="CM113" i="26"/>
  <c r="CN113" i="26"/>
  <c r="DW113" i="26"/>
  <c r="CD113" i="26"/>
  <c r="CG113" i="26"/>
  <c r="DV113" i="26"/>
  <c r="BV113" i="26"/>
  <c r="DU113" i="26"/>
  <c r="DT113" i="26"/>
  <c r="AQ113" i="26"/>
  <c r="AR113" i="26"/>
  <c r="AS113" i="26"/>
  <c r="AT113" i="26"/>
  <c r="AU113" i="26"/>
  <c r="AW113" i="26"/>
  <c r="AX113" i="26"/>
  <c r="AY113" i="26"/>
  <c r="AZ113" i="26"/>
  <c r="DS113" i="26"/>
  <c r="DR113" i="26"/>
  <c r="CZ113" i="26"/>
  <c r="CY113" i="26"/>
  <c r="CF113" i="26"/>
  <c r="CE113" i="26"/>
  <c r="BZ113" i="26"/>
  <c r="P113" i="26"/>
  <c r="O113" i="26"/>
  <c r="I113" i="26"/>
  <c r="K113" i="26"/>
  <c r="EJ112" i="26"/>
  <c r="AQ112" i="26"/>
  <c r="AR112" i="26"/>
  <c r="AS112" i="26"/>
  <c r="AT112" i="26"/>
  <c r="AU112" i="26"/>
  <c r="AW112" i="26"/>
  <c r="AX112" i="26"/>
  <c r="AY112" i="26"/>
  <c r="AZ112" i="26"/>
  <c r="DS112" i="26"/>
  <c r="CZ112" i="26"/>
  <c r="CY112" i="26"/>
  <c r="CR112" i="26"/>
  <c r="CN112" i="26"/>
  <c r="CM112" i="26"/>
  <c r="CG112" i="26"/>
  <c r="CF112" i="26"/>
  <c r="CE112" i="26"/>
  <c r="CD112" i="26"/>
  <c r="BZ112" i="26"/>
  <c r="BV112" i="26"/>
  <c r="O112" i="26"/>
  <c r="I112" i="26"/>
  <c r="K112" i="26"/>
  <c r="EJ111" i="26"/>
  <c r="DT111" i="26"/>
  <c r="AQ111" i="26"/>
  <c r="AR111" i="26"/>
  <c r="AS111" i="26"/>
  <c r="AT111" i="26"/>
  <c r="AU111" i="26"/>
  <c r="AW111" i="26"/>
  <c r="AX111" i="26"/>
  <c r="AY111" i="26"/>
  <c r="AZ111" i="26"/>
  <c r="DS111" i="26"/>
  <c r="CZ111" i="26"/>
  <c r="CY111" i="26"/>
  <c r="CR111" i="26"/>
  <c r="CN111" i="26"/>
  <c r="CM111" i="26"/>
  <c r="CG111" i="26"/>
  <c r="CF111" i="26"/>
  <c r="CE111" i="26"/>
  <c r="CD111" i="26"/>
  <c r="BZ111" i="26"/>
  <c r="BV111" i="26"/>
  <c r="P111" i="26"/>
  <c r="O111" i="26"/>
  <c r="I111" i="26"/>
  <c r="K111" i="26"/>
  <c r="EJ110" i="26"/>
  <c r="AQ110" i="26"/>
  <c r="AR110" i="26"/>
  <c r="AS110" i="26"/>
  <c r="AT110" i="26"/>
  <c r="AU110" i="26"/>
  <c r="AW110" i="26"/>
  <c r="AX110" i="26"/>
  <c r="AY110" i="26"/>
  <c r="AZ110" i="26"/>
  <c r="DS110" i="26"/>
  <c r="CZ110" i="26"/>
  <c r="CY110" i="26"/>
  <c r="CR110" i="26"/>
  <c r="CN110" i="26"/>
  <c r="CM110" i="26"/>
  <c r="CG110" i="26"/>
  <c r="CF110" i="26"/>
  <c r="CE110" i="26"/>
  <c r="CD110" i="26"/>
  <c r="BZ110" i="26"/>
  <c r="BV110" i="26"/>
  <c r="P110" i="26"/>
  <c r="O110" i="26"/>
  <c r="I110" i="26"/>
  <c r="K110" i="26"/>
  <c r="EJ109" i="26"/>
  <c r="DT109" i="26"/>
  <c r="AQ109" i="26"/>
  <c r="AR109" i="26"/>
  <c r="AS109" i="26"/>
  <c r="AT109" i="26"/>
  <c r="AU109" i="26"/>
  <c r="AW109" i="26"/>
  <c r="AX109" i="26"/>
  <c r="AY109" i="26"/>
  <c r="AZ109" i="26"/>
  <c r="DS109" i="26"/>
  <c r="CZ109" i="26"/>
  <c r="CY109" i="26"/>
  <c r="CR109" i="26"/>
  <c r="CN109" i="26"/>
  <c r="CM109" i="26"/>
  <c r="CG109" i="26"/>
  <c r="CF109" i="26"/>
  <c r="CE109" i="26"/>
  <c r="CD109" i="26"/>
  <c r="BZ109" i="26"/>
  <c r="BV109" i="26"/>
  <c r="O109" i="26"/>
  <c r="I109" i="26"/>
  <c r="K109" i="26"/>
  <c r="EJ108" i="26"/>
  <c r="AQ108" i="26"/>
  <c r="AR108" i="26"/>
  <c r="AS108" i="26"/>
  <c r="AT108" i="26"/>
  <c r="AU108" i="26"/>
  <c r="AW108" i="26"/>
  <c r="AX108" i="26"/>
  <c r="AY108" i="26"/>
  <c r="AZ108" i="26"/>
  <c r="DS108" i="26"/>
  <c r="CZ108" i="26"/>
  <c r="CY108" i="26"/>
  <c r="CR108" i="26"/>
  <c r="CN108" i="26"/>
  <c r="CM108" i="26"/>
  <c r="CG108" i="26"/>
  <c r="CF108" i="26"/>
  <c r="CE108" i="26"/>
  <c r="CD108" i="26"/>
  <c r="BZ108" i="26"/>
  <c r="BV108" i="26"/>
  <c r="O108" i="26"/>
  <c r="I108" i="26"/>
  <c r="K108" i="26"/>
  <c r="EJ107" i="26"/>
  <c r="CR107" i="26"/>
  <c r="DX107" i="26"/>
  <c r="CM107" i="26"/>
  <c r="CN107" i="26"/>
  <c r="DW107" i="26"/>
  <c r="CD107" i="26"/>
  <c r="CG107" i="26"/>
  <c r="DV107" i="26"/>
  <c r="BV107" i="26"/>
  <c r="DU107" i="26"/>
  <c r="DT107" i="26"/>
  <c r="AQ107" i="26"/>
  <c r="AR107" i="26"/>
  <c r="AS107" i="26"/>
  <c r="AT107" i="26"/>
  <c r="AU107" i="26"/>
  <c r="AW107" i="26"/>
  <c r="AX107" i="26"/>
  <c r="AY107" i="26"/>
  <c r="AZ107" i="26"/>
  <c r="DS107" i="26"/>
  <c r="DR107" i="26"/>
  <c r="CZ107" i="26"/>
  <c r="CY107" i="26"/>
  <c r="CF107" i="26"/>
  <c r="CE107" i="26"/>
  <c r="BZ107" i="26"/>
  <c r="P107" i="26"/>
  <c r="O107" i="26"/>
  <c r="I107" i="26"/>
  <c r="K107" i="26"/>
  <c r="EJ106" i="26"/>
  <c r="CR106" i="26"/>
  <c r="DX106" i="26"/>
  <c r="CM106" i="26"/>
  <c r="CN106" i="26"/>
  <c r="DW106" i="26"/>
  <c r="CD106" i="26"/>
  <c r="CG106" i="26"/>
  <c r="DV106" i="26"/>
  <c r="BV106" i="26"/>
  <c r="DU106" i="26"/>
  <c r="DT106" i="26"/>
  <c r="AQ106" i="26"/>
  <c r="AR106" i="26"/>
  <c r="AS106" i="26"/>
  <c r="AT106" i="26"/>
  <c r="AU106" i="26"/>
  <c r="AW106" i="26"/>
  <c r="AX106" i="26"/>
  <c r="AY106" i="26"/>
  <c r="AZ106" i="26"/>
  <c r="DS106" i="26"/>
  <c r="DR106" i="26"/>
  <c r="CZ106" i="26"/>
  <c r="CY106" i="26"/>
  <c r="CF106" i="26"/>
  <c r="CE106" i="26"/>
  <c r="BZ106" i="26"/>
  <c r="P106" i="26"/>
  <c r="O106" i="26"/>
  <c r="I106" i="26"/>
  <c r="K106" i="26"/>
  <c r="EJ105" i="26"/>
  <c r="DT105" i="26"/>
  <c r="AQ105" i="26"/>
  <c r="AR105" i="26"/>
  <c r="AS105" i="26"/>
  <c r="AT105" i="26"/>
  <c r="AU105" i="26"/>
  <c r="AW105" i="26"/>
  <c r="AX105" i="26"/>
  <c r="AY105" i="26"/>
  <c r="AZ105" i="26"/>
  <c r="DS105" i="26"/>
  <c r="CZ105" i="26"/>
  <c r="CY105" i="26"/>
  <c r="CR105" i="26"/>
  <c r="CN105" i="26"/>
  <c r="CM105" i="26"/>
  <c r="CG105" i="26"/>
  <c r="CF105" i="26"/>
  <c r="CE105" i="26"/>
  <c r="CD105" i="26"/>
  <c r="BZ105" i="26"/>
  <c r="BV105" i="26"/>
  <c r="O105" i="26"/>
  <c r="I105" i="26"/>
  <c r="K105" i="26"/>
  <c r="EJ104" i="26"/>
  <c r="CR104" i="26"/>
  <c r="DX104" i="26"/>
  <c r="CM104" i="26"/>
  <c r="CN104" i="26"/>
  <c r="DW104" i="26"/>
  <c r="CD104" i="26"/>
  <c r="CG104" i="26"/>
  <c r="DV104" i="26"/>
  <c r="BV104" i="26"/>
  <c r="DU104" i="26"/>
  <c r="DT104" i="26"/>
  <c r="AQ104" i="26"/>
  <c r="AR104" i="26"/>
  <c r="AS104" i="26"/>
  <c r="AT104" i="26"/>
  <c r="AU104" i="26"/>
  <c r="AW104" i="26"/>
  <c r="AX104" i="26"/>
  <c r="AY104" i="26"/>
  <c r="AZ104" i="26"/>
  <c r="DS104" i="26"/>
  <c r="DR104" i="26"/>
  <c r="CZ104" i="26"/>
  <c r="CY104" i="26"/>
  <c r="CF104" i="26"/>
  <c r="CE104" i="26"/>
  <c r="BZ104" i="26"/>
  <c r="P104" i="26"/>
  <c r="O104" i="26"/>
  <c r="I104" i="26"/>
  <c r="K104" i="26"/>
  <c r="EJ103" i="26"/>
  <c r="AQ103" i="26"/>
  <c r="AR103" i="26"/>
  <c r="AS103" i="26"/>
  <c r="AT103" i="26"/>
  <c r="AU103" i="26"/>
  <c r="AW103" i="26"/>
  <c r="AX103" i="26"/>
  <c r="AY103" i="26"/>
  <c r="AZ103" i="26"/>
  <c r="DS103" i="26"/>
  <c r="CZ103" i="26"/>
  <c r="CY103" i="26"/>
  <c r="CR103" i="26"/>
  <c r="CN103" i="26"/>
  <c r="CM103" i="26"/>
  <c r="CG103" i="26"/>
  <c r="CF103" i="26"/>
  <c r="CE103" i="26"/>
  <c r="CD103" i="26"/>
  <c r="BZ103" i="26"/>
  <c r="BV103" i="26"/>
  <c r="O103" i="26"/>
  <c r="I103" i="26"/>
  <c r="K103" i="26"/>
  <c r="EJ102" i="26"/>
  <c r="CR102" i="26"/>
  <c r="DX102" i="26"/>
  <c r="CM102" i="26"/>
  <c r="CN102" i="26"/>
  <c r="DW102" i="26"/>
  <c r="CD102" i="26"/>
  <c r="CG102" i="26"/>
  <c r="DV102" i="26"/>
  <c r="BV102" i="26"/>
  <c r="DU102" i="26"/>
  <c r="DT102" i="26"/>
  <c r="AQ102" i="26"/>
  <c r="AR102" i="26"/>
  <c r="AS102" i="26"/>
  <c r="AT102" i="26"/>
  <c r="AU102" i="26"/>
  <c r="AW102" i="26"/>
  <c r="AX102" i="26"/>
  <c r="AY102" i="26"/>
  <c r="AZ102" i="26"/>
  <c r="DS102" i="26"/>
  <c r="DR102" i="26"/>
  <c r="CZ102" i="26"/>
  <c r="CY102" i="26"/>
  <c r="CF102" i="26"/>
  <c r="CE102" i="26"/>
  <c r="BZ102" i="26"/>
  <c r="P102" i="26"/>
  <c r="O102" i="26"/>
  <c r="I102" i="26"/>
  <c r="K102" i="26"/>
  <c r="EJ101" i="26"/>
  <c r="AQ101" i="26"/>
  <c r="AR101" i="26"/>
  <c r="AS101" i="26"/>
  <c r="AT101" i="26"/>
  <c r="AU101" i="26"/>
  <c r="AW101" i="26"/>
  <c r="AX101" i="26"/>
  <c r="AY101" i="26"/>
  <c r="AZ101" i="26"/>
  <c r="DS101" i="26"/>
  <c r="CZ101" i="26"/>
  <c r="CY101" i="26"/>
  <c r="CR101" i="26"/>
  <c r="CN101" i="26"/>
  <c r="CM101" i="26"/>
  <c r="CG101" i="26"/>
  <c r="CF101" i="26"/>
  <c r="CE101" i="26"/>
  <c r="CD101" i="26"/>
  <c r="BZ101" i="26"/>
  <c r="BV101" i="26"/>
  <c r="O101" i="26"/>
  <c r="I101" i="26"/>
  <c r="K101" i="26"/>
  <c r="EJ100" i="26"/>
  <c r="AQ100" i="26"/>
  <c r="AR100" i="26"/>
  <c r="AS100" i="26"/>
  <c r="AT100" i="26"/>
  <c r="AU100" i="26"/>
  <c r="AW100" i="26"/>
  <c r="AX100" i="26"/>
  <c r="AY100" i="26"/>
  <c r="AZ100" i="26"/>
  <c r="DS100" i="26"/>
  <c r="CZ100" i="26"/>
  <c r="CY100" i="26"/>
  <c r="CR100" i="26"/>
  <c r="CN100" i="26"/>
  <c r="CM100" i="26"/>
  <c r="CG100" i="26"/>
  <c r="CF100" i="26"/>
  <c r="CE100" i="26"/>
  <c r="CD100" i="26"/>
  <c r="BZ100" i="26"/>
  <c r="BV100" i="26"/>
  <c r="O100" i="26"/>
  <c r="I100" i="26"/>
  <c r="K100" i="26"/>
  <c r="EJ99" i="26"/>
  <c r="AQ99" i="26"/>
  <c r="AR99" i="26"/>
  <c r="AS99" i="26"/>
  <c r="AT99" i="26"/>
  <c r="AU99" i="26"/>
  <c r="AW99" i="26"/>
  <c r="AX99" i="26"/>
  <c r="AY99" i="26"/>
  <c r="AZ99" i="26"/>
  <c r="DS99" i="26"/>
  <c r="CZ99" i="26"/>
  <c r="CY99" i="26"/>
  <c r="CR99" i="26"/>
  <c r="CN99" i="26"/>
  <c r="CM99" i="26"/>
  <c r="CG99" i="26"/>
  <c r="CF99" i="26"/>
  <c r="CE99" i="26"/>
  <c r="CD99" i="26"/>
  <c r="BZ99" i="26"/>
  <c r="BV99" i="26"/>
  <c r="O99" i="26"/>
  <c r="I99" i="26"/>
  <c r="K99" i="26"/>
  <c r="EJ98" i="26"/>
  <c r="DT98" i="26"/>
  <c r="AQ98" i="26"/>
  <c r="AR98" i="26"/>
  <c r="AS98" i="26"/>
  <c r="AT98" i="26"/>
  <c r="AU98" i="26"/>
  <c r="AW98" i="26"/>
  <c r="AX98" i="26"/>
  <c r="AY98" i="26"/>
  <c r="AZ98" i="26"/>
  <c r="DS98" i="26"/>
  <c r="CZ98" i="26"/>
  <c r="CY98" i="26"/>
  <c r="CR98" i="26"/>
  <c r="CN98" i="26"/>
  <c r="CM98" i="26"/>
  <c r="CG98" i="26"/>
  <c r="CF98" i="26"/>
  <c r="CE98" i="26"/>
  <c r="CD98" i="26"/>
  <c r="BZ98" i="26"/>
  <c r="BV98" i="26"/>
  <c r="O98" i="26"/>
  <c r="I98" i="26"/>
  <c r="K98" i="26"/>
  <c r="EJ97" i="26"/>
  <c r="AQ97" i="26"/>
  <c r="AR97" i="26"/>
  <c r="AS97" i="26"/>
  <c r="AT97" i="26"/>
  <c r="AU97" i="26"/>
  <c r="AW97" i="26"/>
  <c r="AX97" i="26"/>
  <c r="AY97" i="26"/>
  <c r="AZ97" i="26"/>
  <c r="DS97" i="26"/>
  <c r="CZ97" i="26"/>
  <c r="CY97" i="26"/>
  <c r="CR97" i="26"/>
  <c r="CN97" i="26"/>
  <c r="CM97" i="26"/>
  <c r="CG97" i="26"/>
  <c r="CF97" i="26"/>
  <c r="CE97" i="26"/>
  <c r="CD97" i="26"/>
  <c r="BZ97" i="26"/>
  <c r="BV97" i="26"/>
  <c r="O97" i="26"/>
  <c r="I97" i="26"/>
  <c r="K97" i="26"/>
  <c r="EJ96" i="26"/>
  <c r="CR96" i="26"/>
  <c r="DX96" i="26"/>
  <c r="CM96" i="26"/>
  <c r="CN96" i="26"/>
  <c r="DW96" i="26"/>
  <c r="CD96" i="26"/>
  <c r="CG96" i="26"/>
  <c r="DV96" i="26"/>
  <c r="BV96" i="26"/>
  <c r="DU96" i="26"/>
  <c r="DT96" i="26"/>
  <c r="AQ96" i="26"/>
  <c r="AR96" i="26"/>
  <c r="AS96" i="26"/>
  <c r="AT96" i="26"/>
  <c r="AU96" i="26"/>
  <c r="AW96" i="26"/>
  <c r="AX96" i="26"/>
  <c r="AY96" i="26"/>
  <c r="AZ96" i="26"/>
  <c r="DS96" i="26"/>
  <c r="DR96" i="26"/>
  <c r="CZ96" i="26"/>
  <c r="CY96" i="26"/>
  <c r="CF96" i="26"/>
  <c r="CE96" i="26"/>
  <c r="BZ96" i="26"/>
  <c r="P96" i="26"/>
  <c r="O96" i="26"/>
  <c r="I96" i="26"/>
  <c r="K96" i="26"/>
  <c r="EJ95" i="26"/>
  <c r="CR95" i="26"/>
  <c r="DX95" i="26"/>
  <c r="CM95" i="26"/>
  <c r="CN95" i="26"/>
  <c r="DW95" i="26"/>
  <c r="CD95" i="26"/>
  <c r="CG95" i="26"/>
  <c r="DV95" i="26"/>
  <c r="BV95" i="26"/>
  <c r="DU95" i="26"/>
  <c r="DT95" i="26"/>
  <c r="AQ95" i="26"/>
  <c r="AR95" i="26"/>
  <c r="AS95" i="26"/>
  <c r="AT95" i="26"/>
  <c r="AU95" i="26"/>
  <c r="AW95" i="26"/>
  <c r="AX95" i="26"/>
  <c r="AY95" i="26"/>
  <c r="AZ95" i="26"/>
  <c r="DS95" i="26"/>
  <c r="DR95" i="26"/>
  <c r="CZ95" i="26"/>
  <c r="CY95" i="26"/>
  <c r="CF95" i="26"/>
  <c r="CE95" i="26"/>
  <c r="BZ95" i="26"/>
  <c r="P95" i="26"/>
  <c r="O95" i="26"/>
  <c r="I95" i="26"/>
  <c r="K95" i="26"/>
  <c r="EJ94" i="26"/>
  <c r="DT94" i="26"/>
  <c r="AQ94" i="26"/>
  <c r="AR94" i="26"/>
  <c r="AS94" i="26"/>
  <c r="AT94" i="26"/>
  <c r="AU94" i="26"/>
  <c r="AW94" i="26"/>
  <c r="AX94" i="26"/>
  <c r="AY94" i="26"/>
  <c r="AZ94" i="26"/>
  <c r="DS94" i="26"/>
  <c r="CZ94" i="26"/>
  <c r="CY94" i="26"/>
  <c r="CR94" i="26"/>
  <c r="CN94" i="26"/>
  <c r="CM94" i="26"/>
  <c r="CG94" i="26"/>
  <c r="CF94" i="26"/>
  <c r="CE94" i="26"/>
  <c r="CD94" i="26"/>
  <c r="BZ94" i="26"/>
  <c r="BV94" i="26"/>
  <c r="P94" i="26"/>
  <c r="O94" i="26"/>
  <c r="I94" i="26"/>
  <c r="K94" i="26"/>
  <c r="EJ93" i="26"/>
  <c r="CR93" i="26"/>
  <c r="DX93" i="26"/>
  <c r="CM93" i="26"/>
  <c r="CN93" i="26"/>
  <c r="DW93" i="26"/>
  <c r="CD93" i="26"/>
  <c r="CG93" i="26"/>
  <c r="DV93" i="26"/>
  <c r="BV93" i="26"/>
  <c r="DU93" i="26"/>
  <c r="DT93" i="26"/>
  <c r="AQ93" i="26"/>
  <c r="AR93" i="26"/>
  <c r="AS93" i="26"/>
  <c r="AT93" i="26"/>
  <c r="AU93" i="26"/>
  <c r="AW93" i="26"/>
  <c r="AX93" i="26"/>
  <c r="AY93" i="26"/>
  <c r="AZ93" i="26"/>
  <c r="DS93" i="26"/>
  <c r="DR93" i="26"/>
  <c r="CZ93" i="26"/>
  <c r="CY93" i="26"/>
  <c r="CF93" i="26"/>
  <c r="CE93" i="26"/>
  <c r="BZ93" i="26"/>
  <c r="P93" i="26"/>
  <c r="O93" i="26"/>
  <c r="K93" i="26"/>
  <c r="EJ92" i="26"/>
  <c r="CR92" i="26"/>
  <c r="DX92" i="26"/>
  <c r="CM92" i="26"/>
  <c r="CN92" i="26"/>
  <c r="DW92" i="26"/>
  <c r="CD92" i="26"/>
  <c r="CG92" i="26"/>
  <c r="DV92" i="26"/>
  <c r="BV92" i="26"/>
  <c r="DU92" i="26"/>
  <c r="DT92" i="26"/>
  <c r="AQ92" i="26"/>
  <c r="AR92" i="26"/>
  <c r="AS92" i="26"/>
  <c r="AT92" i="26"/>
  <c r="AU92" i="26"/>
  <c r="AW92" i="26"/>
  <c r="AX92" i="26"/>
  <c r="AY92" i="26"/>
  <c r="AZ92" i="26"/>
  <c r="DS92" i="26"/>
  <c r="DR92" i="26"/>
  <c r="CZ92" i="26"/>
  <c r="CY92" i="26"/>
  <c r="CF92" i="26"/>
  <c r="CE92" i="26"/>
  <c r="BZ92" i="26"/>
  <c r="P92" i="26"/>
  <c r="O92" i="26"/>
  <c r="I92" i="26"/>
  <c r="K92" i="26"/>
  <c r="EJ91" i="26"/>
  <c r="AQ91" i="26"/>
  <c r="AR91" i="26"/>
  <c r="AS91" i="26"/>
  <c r="AT91" i="26"/>
  <c r="AU91" i="26"/>
  <c r="AW91" i="26"/>
  <c r="AX91" i="26"/>
  <c r="AY91" i="26"/>
  <c r="AZ91" i="26"/>
  <c r="DS91" i="26"/>
  <c r="CZ91" i="26"/>
  <c r="CY91" i="26"/>
  <c r="CR91" i="26"/>
  <c r="CN91" i="26"/>
  <c r="CM91" i="26"/>
  <c r="CG91" i="26"/>
  <c r="CF91" i="26"/>
  <c r="CE91" i="26"/>
  <c r="CD91" i="26"/>
  <c r="BZ91" i="26"/>
  <c r="BV91" i="26"/>
  <c r="O91" i="26"/>
  <c r="I91" i="26"/>
  <c r="K91" i="26"/>
  <c r="EJ90" i="26"/>
  <c r="AQ90" i="26"/>
  <c r="AR90" i="26"/>
  <c r="AS90" i="26"/>
  <c r="AT90" i="26"/>
  <c r="AU90" i="26"/>
  <c r="AW90" i="26"/>
  <c r="AX90" i="26"/>
  <c r="AY90" i="26"/>
  <c r="AZ90" i="26"/>
  <c r="DS90" i="26"/>
  <c r="CZ90" i="26"/>
  <c r="CY90" i="26"/>
  <c r="CR90" i="26"/>
  <c r="CN90" i="26"/>
  <c r="CM90" i="26"/>
  <c r="CG90" i="26"/>
  <c r="CF90" i="26"/>
  <c r="CE90" i="26"/>
  <c r="CD90" i="26"/>
  <c r="BZ90" i="26"/>
  <c r="BV90" i="26"/>
  <c r="O90" i="26"/>
  <c r="I90" i="26"/>
  <c r="K90" i="26"/>
  <c r="EJ89" i="26"/>
  <c r="BV89" i="26"/>
  <c r="DU89" i="26"/>
  <c r="DT89" i="26"/>
  <c r="AQ89" i="26"/>
  <c r="AR89" i="26"/>
  <c r="AS89" i="26"/>
  <c r="AT89" i="26"/>
  <c r="AU89" i="26"/>
  <c r="AW89" i="26"/>
  <c r="AX89" i="26"/>
  <c r="AY89" i="26"/>
  <c r="AZ89" i="26"/>
  <c r="DS89" i="26"/>
  <c r="CZ89" i="26"/>
  <c r="CY89" i="26"/>
  <c r="CR89" i="26"/>
  <c r="CN89" i="26"/>
  <c r="CM89" i="26"/>
  <c r="CG89" i="26"/>
  <c r="CF89" i="26"/>
  <c r="CE89" i="26"/>
  <c r="CD89" i="26"/>
  <c r="BZ89" i="26"/>
  <c r="O89" i="26"/>
  <c r="I89" i="26"/>
  <c r="K89" i="26"/>
  <c r="EJ88" i="26"/>
  <c r="CR88" i="26"/>
  <c r="DX88" i="26"/>
  <c r="CM88" i="26"/>
  <c r="CN88" i="26"/>
  <c r="DW88" i="26"/>
  <c r="CD88" i="26"/>
  <c r="CG88" i="26"/>
  <c r="DV88" i="26"/>
  <c r="BV88" i="26"/>
  <c r="DU88" i="26"/>
  <c r="DT88" i="26"/>
  <c r="AQ88" i="26"/>
  <c r="AR88" i="26"/>
  <c r="AS88" i="26"/>
  <c r="AT88" i="26"/>
  <c r="AU88" i="26"/>
  <c r="AW88" i="26"/>
  <c r="AX88" i="26"/>
  <c r="AY88" i="26"/>
  <c r="AZ88" i="26"/>
  <c r="DS88" i="26"/>
  <c r="DR88" i="26"/>
  <c r="CZ88" i="26"/>
  <c r="CY88" i="26"/>
  <c r="CF88" i="26"/>
  <c r="CE88" i="26"/>
  <c r="BZ88" i="26"/>
  <c r="P88" i="26"/>
  <c r="O88" i="26"/>
  <c r="I88" i="26"/>
  <c r="K88" i="26"/>
  <c r="EJ87" i="26"/>
  <c r="CR87" i="26"/>
  <c r="DX87" i="26"/>
  <c r="CM87" i="26"/>
  <c r="CN87" i="26"/>
  <c r="DW87" i="26"/>
  <c r="CD87" i="26"/>
  <c r="CG87" i="26"/>
  <c r="DV87" i="26"/>
  <c r="BV87" i="26"/>
  <c r="DU87" i="26"/>
  <c r="DT87" i="26"/>
  <c r="AQ87" i="26"/>
  <c r="AR87" i="26"/>
  <c r="AS87" i="26"/>
  <c r="AT87" i="26"/>
  <c r="AU87" i="26"/>
  <c r="AW87" i="26"/>
  <c r="AX87" i="26"/>
  <c r="AY87" i="26"/>
  <c r="AZ87" i="26"/>
  <c r="DS87" i="26"/>
  <c r="DR87" i="26"/>
  <c r="CZ87" i="26"/>
  <c r="CY87" i="26"/>
  <c r="CF87" i="26"/>
  <c r="CE87" i="26"/>
  <c r="BZ87" i="26"/>
  <c r="P87" i="26"/>
  <c r="O87" i="26"/>
  <c r="I87" i="26"/>
  <c r="K87" i="26"/>
  <c r="EJ86" i="26"/>
  <c r="AQ86" i="26"/>
  <c r="AR86" i="26"/>
  <c r="AS86" i="26"/>
  <c r="AT86" i="26"/>
  <c r="AU86" i="26"/>
  <c r="AW86" i="26"/>
  <c r="AX86" i="26"/>
  <c r="AY86" i="26"/>
  <c r="AZ86" i="26"/>
  <c r="DS86" i="26"/>
  <c r="CZ86" i="26"/>
  <c r="CY86" i="26"/>
  <c r="CR86" i="26"/>
  <c r="CN86" i="26"/>
  <c r="CM86" i="26"/>
  <c r="CG86" i="26"/>
  <c r="CF86" i="26"/>
  <c r="CE86" i="26"/>
  <c r="CD86" i="26"/>
  <c r="BZ86" i="26"/>
  <c r="BV86" i="26"/>
  <c r="O86" i="26"/>
  <c r="I86" i="26"/>
  <c r="K86" i="26"/>
  <c r="EJ85" i="26"/>
  <c r="AQ85" i="26"/>
  <c r="AR85" i="26"/>
  <c r="AS85" i="26"/>
  <c r="AT85" i="26"/>
  <c r="AU85" i="26"/>
  <c r="AW85" i="26"/>
  <c r="AX85" i="26"/>
  <c r="AY85" i="26"/>
  <c r="AZ85" i="26"/>
  <c r="DS85" i="26"/>
  <c r="CZ85" i="26"/>
  <c r="CY85" i="26"/>
  <c r="CR85" i="26"/>
  <c r="CN85" i="26"/>
  <c r="CM85" i="26"/>
  <c r="CG85" i="26"/>
  <c r="CF85" i="26"/>
  <c r="CE85" i="26"/>
  <c r="CD85" i="26"/>
  <c r="BZ85" i="26"/>
  <c r="BV85" i="26"/>
  <c r="O85" i="26"/>
  <c r="I85" i="26"/>
  <c r="K85" i="26"/>
  <c r="EJ84" i="26"/>
  <c r="CR84" i="26"/>
  <c r="DX84" i="26"/>
  <c r="CM84" i="26"/>
  <c r="CN84" i="26"/>
  <c r="DW84" i="26"/>
  <c r="CD84" i="26"/>
  <c r="CG84" i="26"/>
  <c r="DV84" i="26"/>
  <c r="BV84" i="26"/>
  <c r="DU84" i="26"/>
  <c r="DT84" i="26"/>
  <c r="AQ84" i="26"/>
  <c r="AR84" i="26"/>
  <c r="AS84" i="26"/>
  <c r="AT84" i="26"/>
  <c r="AU84" i="26"/>
  <c r="AW84" i="26"/>
  <c r="AX84" i="26"/>
  <c r="AY84" i="26"/>
  <c r="AZ84" i="26"/>
  <c r="DS84" i="26"/>
  <c r="DR84" i="26"/>
  <c r="CZ84" i="26"/>
  <c r="CY84" i="26"/>
  <c r="CF84" i="26"/>
  <c r="CE84" i="26"/>
  <c r="BZ84" i="26"/>
  <c r="P84" i="26"/>
  <c r="O84" i="26"/>
  <c r="I84" i="26"/>
  <c r="K84" i="26"/>
  <c r="EJ83" i="26"/>
  <c r="AQ83" i="26"/>
  <c r="AR83" i="26"/>
  <c r="AS83" i="26"/>
  <c r="AT83" i="26"/>
  <c r="AU83" i="26"/>
  <c r="AW83" i="26"/>
  <c r="AX83" i="26"/>
  <c r="AY83" i="26"/>
  <c r="AZ83" i="26"/>
  <c r="DS83" i="26"/>
  <c r="CZ83" i="26"/>
  <c r="CY83" i="26"/>
  <c r="CR83" i="26"/>
  <c r="CN83" i="26"/>
  <c r="CM83" i="26"/>
  <c r="CG83" i="26"/>
  <c r="CF83" i="26"/>
  <c r="CE83" i="26"/>
  <c r="CD83" i="26"/>
  <c r="BZ83" i="26"/>
  <c r="BV83" i="26"/>
  <c r="O83" i="26"/>
  <c r="I83" i="26"/>
  <c r="K83" i="26"/>
  <c r="EJ82" i="26"/>
  <c r="CR82" i="26"/>
  <c r="DX82" i="26"/>
  <c r="CM82" i="26"/>
  <c r="CN82" i="26"/>
  <c r="DW82" i="26"/>
  <c r="CD82" i="26"/>
  <c r="CG82" i="26"/>
  <c r="DV82" i="26"/>
  <c r="BV82" i="26"/>
  <c r="DU82" i="26"/>
  <c r="DT82" i="26"/>
  <c r="AQ82" i="26"/>
  <c r="AR82" i="26"/>
  <c r="AS82" i="26"/>
  <c r="AT82" i="26"/>
  <c r="AU82" i="26"/>
  <c r="AW82" i="26"/>
  <c r="AX82" i="26"/>
  <c r="AY82" i="26"/>
  <c r="AZ82" i="26"/>
  <c r="DS82" i="26"/>
  <c r="DR82" i="26"/>
  <c r="CZ82" i="26"/>
  <c r="CY82" i="26"/>
  <c r="CF82" i="26"/>
  <c r="CE82" i="26"/>
  <c r="BZ82" i="26"/>
  <c r="P82" i="26"/>
  <c r="O82" i="26"/>
  <c r="I82" i="26"/>
  <c r="K82" i="26"/>
  <c r="EJ81" i="26"/>
  <c r="CR81" i="26"/>
  <c r="DX81" i="26"/>
  <c r="CM81" i="26"/>
  <c r="CN81" i="26"/>
  <c r="DW81" i="26"/>
  <c r="CD81" i="26"/>
  <c r="CG81" i="26"/>
  <c r="DV81" i="26"/>
  <c r="BV81" i="26"/>
  <c r="DU81" i="26"/>
  <c r="DT81" i="26"/>
  <c r="AQ81" i="26"/>
  <c r="AR81" i="26"/>
  <c r="AS81" i="26"/>
  <c r="AT81" i="26"/>
  <c r="AU81" i="26"/>
  <c r="AW81" i="26"/>
  <c r="AX81" i="26"/>
  <c r="AY81" i="26"/>
  <c r="AZ81" i="26"/>
  <c r="DS81" i="26"/>
  <c r="DR81" i="26"/>
  <c r="CZ81" i="26"/>
  <c r="CY81" i="26"/>
  <c r="CF81" i="26"/>
  <c r="CE81" i="26"/>
  <c r="BZ81" i="26"/>
  <c r="P81" i="26"/>
  <c r="O81" i="26"/>
  <c r="I81" i="26"/>
  <c r="K81" i="26"/>
  <c r="EJ80" i="26"/>
  <c r="CR80" i="26"/>
  <c r="DX80" i="26"/>
  <c r="CM80" i="26"/>
  <c r="CN80" i="26"/>
  <c r="DW80" i="26"/>
  <c r="CD80" i="26"/>
  <c r="CG80" i="26"/>
  <c r="DV80" i="26"/>
  <c r="BV80" i="26"/>
  <c r="DU80" i="26"/>
  <c r="DT80" i="26"/>
  <c r="AQ80" i="26"/>
  <c r="AR80" i="26"/>
  <c r="AS80" i="26"/>
  <c r="AT80" i="26"/>
  <c r="AU80" i="26"/>
  <c r="AW80" i="26"/>
  <c r="AX80" i="26"/>
  <c r="AY80" i="26"/>
  <c r="AZ80" i="26"/>
  <c r="DS80" i="26"/>
  <c r="DR80" i="26"/>
  <c r="CZ80" i="26"/>
  <c r="CY80" i="26"/>
  <c r="CF80" i="26"/>
  <c r="CE80" i="26"/>
  <c r="BZ80" i="26"/>
  <c r="P80" i="26"/>
  <c r="O80" i="26"/>
  <c r="I80" i="26"/>
  <c r="K80" i="26"/>
  <c r="EJ79" i="26"/>
  <c r="CR79" i="26"/>
  <c r="DX79" i="26"/>
  <c r="CM79" i="26"/>
  <c r="CN79" i="26"/>
  <c r="DW79" i="26"/>
  <c r="CD79" i="26"/>
  <c r="CG79" i="26"/>
  <c r="DV79" i="26"/>
  <c r="BV79" i="26"/>
  <c r="DU79" i="26"/>
  <c r="DT79" i="26"/>
  <c r="AQ79" i="26"/>
  <c r="AR79" i="26"/>
  <c r="AS79" i="26"/>
  <c r="AT79" i="26"/>
  <c r="AU79" i="26"/>
  <c r="AW79" i="26"/>
  <c r="AX79" i="26"/>
  <c r="AY79" i="26"/>
  <c r="AZ79" i="26"/>
  <c r="DS79" i="26"/>
  <c r="DR79" i="26"/>
  <c r="CZ79" i="26"/>
  <c r="CY79" i="26"/>
  <c r="CF79" i="26"/>
  <c r="CE79" i="26"/>
  <c r="BZ79" i="26"/>
  <c r="P79" i="26"/>
  <c r="O79" i="26"/>
  <c r="I79" i="26"/>
  <c r="K79" i="26"/>
  <c r="EJ78" i="26"/>
  <c r="AQ78" i="26"/>
  <c r="AR78" i="26"/>
  <c r="AS78" i="26"/>
  <c r="AT78" i="26"/>
  <c r="AU78" i="26"/>
  <c r="AW78" i="26"/>
  <c r="AX78" i="26"/>
  <c r="AY78" i="26"/>
  <c r="AZ78" i="26"/>
  <c r="DS78" i="26"/>
  <c r="CZ78" i="26"/>
  <c r="CY78" i="26"/>
  <c r="CR78" i="26"/>
  <c r="CN78" i="26"/>
  <c r="CM78" i="26"/>
  <c r="CG78" i="26"/>
  <c r="CF78" i="26"/>
  <c r="CE78" i="26"/>
  <c r="CD78" i="26"/>
  <c r="BZ78" i="26"/>
  <c r="BV78" i="26"/>
  <c r="O78" i="26"/>
  <c r="I78" i="26"/>
  <c r="K78" i="26"/>
  <c r="EJ77" i="26"/>
  <c r="CR77" i="26"/>
  <c r="DX77" i="26"/>
  <c r="CM77" i="26"/>
  <c r="CN77" i="26"/>
  <c r="DW77" i="26"/>
  <c r="CD77" i="26"/>
  <c r="CG77" i="26"/>
  <c r="DV77" i="26"/>
  <c r="BV77" i="26"/>
  <c r="DU77" i="26"/>
  <c r="DT77" i="26"/>
  <c r="AQ77" i="26"/>
  <c r="AR77" i="26"/>
  <c r="AS77" i="26"/>
  <c r="AT77" i="26"/>
  <c r="AU77" i="26"/>
  <c r="AW77" i="26"/>
  <c r="AX77" i="26"/>
  <c r="AY77" i="26"/>
  <c r="AZ77" i="26"/>
  <c r="DS77" i="26"/>
  <c r="DR77" i="26"/>
  <c r="CZ77" i="26"/>
  <c r="CY77" i="26"/>
  <c r="CF77" i="26"/>
  <c r="CE77" i="26"/>
  <c r="BZ77" i="26"/>
  <c r="P77" i="26"/>
  <c r="O77" i="26"/>
  <c r="I77" i="26"/>
  <c r="K77" i="26"/>
  <c r="EJ76" i="26"/>
  <c r="CR76" i="26"/>
  <c r="DX76" i="26"/>
  <c r="CM76" i="26"/>
  <c r="CN76" i="26"/>
  <c r="DW76" i="26"/>
  <c r="CD76" i="26"/>
  <c r="CG76" i="26"/>
  <c r="DV76" i="26"/>
  <c r="BV76" i="26"/>
  <c r="DU76" i="26"/>
  <c r="DT76" i="26"/>
  <c r="AQ76" i="26"/>
  <c r="AR76" i="26"/>
  <c r="AS76" i="26"/>
  <c r="AT76" i="26"/>
  <c r="AU76" i="26"/>
  <c r="AW76" i="26"/>
  <c r="AX76" i="26"/>
  <c r="AY76" i="26"/>
  <c r="AZ76" i="26"/>
  <c r="DS76" i="26"/>
  <c r="DR76" i="26"/>
  <c r="CZ76" i="26"/>
  <c r="CY76" i="26"/>
  <c r="CF76" i="26"/>
  <c r="CE76" i="26"/>
  <c r="BZ76" i="26"/>
  <c r="P76" i="26"/>
  <c r="O76" i="26"/>
  <c r="I76" i="26"/>
  <c r="K76" i="26"/>
  <c r="EJ75" i="26"/>
  <c r="DT75" i="26"/>
  <c r="AQ75" i="26"/>
  <c r="AR75" i="26"/>
  <c r="AS75" i="26"/>
  <c r="AT75" i="26"/>
  <c r="AU75" i="26"/>
  <c r="AW75" i="26"/>
  <c r="AX75" i="26"/>
  <c r="AY75" i="26"/>
  <c r="AZ75" i="26"/>
  <c r="DS75" i="26"/>
  <c r="CZ75" i="26"/>
  <c r="CY75" i="26"/>
  <c r="CR75" i="26"/>
  <c r="CN75" i="26"/>
  <c r="CM75" i="26"/>
  <c r="CG75" i="26"/>
  <c r="CF75" i="26"/>
  <c r="CE75" i="26"/>
  <c r="CD75" i="26"/>
  <c r="BZ75" i="26"/>
  <c r="BV75" i="26"/>
  <c r="P75" i="26"/>
  <c r="O75" i="26"/>
  <c r="I75" i="26"/>
  <c r="K75" i="26"/>
  <c r="EJ74" i="26"/>
  <c r="AQ74" i="26"/>
  <c r="AR74" i="26"/>
  <c r="AS74" i="26"/>
  <c r="AT74" i="26"/>
  <c r="AU74" i="26"/>
  <c r="AW74" i="26"/>
  <c r="AX74" i="26"/>
  <c r="AY74" i="26"/>
  <c r="AZ74" i="26"/>
  <c r="DS74" i="26"/>
  <c r="CZ74" i="26"/>
  <c r="CY74" i="26"/>
  <c r="CR74" i="26"/>
  <c r="CN74" i="26"/>
  <c r="CM74" i="26"/>
  <c r="CG74" i="26"/>
  <c r="CF74" i="26"/>
  <c r="CE74" i="26"/>
  <c r="CD74" i="26"/>
  <c r="BZ74" i="26"/>
  <c r="BV74" i="26"/>
  <c r="O74" i="26"/>
  <c r="I74" i="26"/>
  <c r="K74" i="26"/>
  <c r="EJ73" i="26"/>
  <c r="CR73" i="26"/>
  <c r="DX73" i="26"/>
  <c r="CM73" i="26"/>
  <c r="CN73" i="26"/>
  <c r="DW73" i="26"/>
  <c r="CD73" i="26"/>
  <c r="CG73" i="26"/>
  <c r="DV73" i="26"/>
  <c r="BV73" i="26"/>
  <c r="DU73" i="26"/>
  <c r="DT73" i="26"/>
  <c r="AQ73" i="26"/>
  <c r="AR73" i="26"/>
  <c r="AS73" i="26"/>
  <c r="AT73" i="26"/>
  <c r="AU73" i="26"/>
  <c r="AW73" i="26"/>
  <c r="AX73" i="26"/>
  <c r="AY73" i="26"/>
  <c r="AZ73" i="26"/>
  <c r="DS73" i="26"/>
  <c r="DR73" i="26"/>
  <c r="CZ73" i="26"/>
  <c r="CY73" i="26"/>
  <c r="CF73" i="26"/>
  <c r="CE73" i="26"/>
  <c r="BZ73" i="26"/>
  <c r="P73" i="26"/>
  <c r="O73" i="26"/>
  <c r="I73" i="26"/>
  <c r="K73" i="26"/>
  <c r="EJ72" i="26"/>
  <c r="AQ72" i="26"/>
  <c r="AR72" i="26"/>
  <c r="AS72" i="26"/>
  <c r="AT72" i="26"/>
  <c r="AU72" i="26"/>
  <c r="AW72" i="26"/>
  <c r="AX72" i="26"/>
  <c r="AY72" i="26"/>
  <c r="AZ72" i="26"/>
  <c r="DS72" i="26"/>
  <c r="CZ72" i="26"/>
  <c r="CY72" i="26"/>
  <c r="CR72" i="26"/>
  <c r="CN72" i="26"/>
  <c r="CM72" i="26"/>
  <c r="CG72" i="26"/>
  <c r="CF72" i="26"/>
  <c r="CE72" i="26"/>
  <c r="CD72" i="26"/>
  <c r="BZ72" i="26"/>
  <c r="BV72" i="26"/>
  <c r="O72" i="26"/>
  <c r="I72" i="26"/>
  <c r="K72" i="26"/>
  <c r="EJ71" i="26"/>
  <c r="CR71" i="26"/>
  <c r="DX71" i="26"/>
  <c r="CM71" i="26"/>
  <c r="CN71" i="26"/>
  <c r="DW71" i="26"/>
  <c r="CD71" i="26"/>
  <c r="CG71" i="26"/>
  <c r="DV71" i="26"/>
  <c r="BV71" i="26"/>
  <c r="DU71" i="26"/>
  <c r="DT71" i="26"/>
  <c r="AQ71" i="26"/>
  <c r="AR71" i="26"/>
  <c r="AS71" i="26"/>
  <c r="AT71" i="26"/>
  <c r="AU71" i="26"/>
  <c r="AW71" i="26"/>
  <c r="AX71" i="26"/>
  <c r="AY71" i="26"/>
  <c r="AZ71" i="26"/>
  <c r="DS71" i="26"/>
  <c r="DR71" i="26"/>
  <c r="CZ71" i="26"/>
  <c r="CY71" i="26"/>
  <c r="CF71" i="26"/>
  <c r="CE71" i="26"/>
  <c r="BZ71" i="26"/>
  <c r="P71" i="26"/>
  <c r="O71" i="26"/>
  <c r="I71" i="26"/>
  <c r="K71" i="26"/>
  <c r="EJ70" i="26"/>
  <c r="CR70" i="26"/>
  <c r="DX70" i="26"/>
  <c r="CM70" i="26"/>
  <c r="CN70" i="26"/>
  <c r="DW70" i="26"/>
  <c r="CD70" i="26"/>
  <c r="CG70" i="26"/>
  <c r="DV70" i="26"/>
  <c r="BV70" i="26"/>
  <c r="DU70" i="26"/>
  <c r="DT70" i="26"/>
  <c r="AQ70" i="26"/>
  <c r="AR70" i="26"/>
  <c r="AS70" i="26"/>
  <c r="AT70" i="26"/>
  <c r="AU70" i="26"/>
  <c r="AW70" i="26"/>
  <c r="AX70" i="26"/>
  <c r="AY70" i="26"/>
  <c r="AZ70" i="26"/>
  <c r="DS70" i="26"/>
  <c r="DR70" i="26"/>
  <c r="CZ70" i="26"/>
  <c r="CY70" i="26"/>
  <c r="CF70" i="26"/>
  <c r="CE70" i="26"/>
  <c r="BZ70" i="26"/>
  <c r="P70" i="26"/>
  <c r="O70" i="26"/>
  <c r="I70" i="26"/>
  <c r="K70" i="26"/>
  <c r="EJ69" i="26"/>
  <c r="AQ69" i="26"/>
  <c r="AR69" i="26"/>
  <c r="AS69" i="26"/>
  <c r="AT69" i="26"/>
  <c r="AU69" i="26"/>
  <c r="AW69" i="26"/>
  <c r="AX69" i="26"/>
  <c r="AY69" i="26"/>
  <c r="AZ69" i="26"/>
  <c r="DS69" i="26"/>
  <c r="CZ69" i="26"/>
  <c r="CY69" i="26"/>
  <c r="CR69" i="26"/>
  <c r="CN69" i="26"/>
  <c r="CM69" i="26"/>
  <c r="CG69" i="26"/>
  <c r="CF69" i="26"/>
  <c r="CE69" i="26"/>
  <c r="CD69" i="26"/>
  <c r="BZ69" i="26"/>
  <c r="BV69" i="26"/>
  <c r="P69" i="26"/>
  <c r="O69" i="26"/>
  <c r="I69" i="26"/>
  <c r="K69" i="26"/>
  <c r="EJ68" i="26"/>
  <c r="AQ68" i="26"/>
  <c r="AR68" i="26"/>
  <c r="AS68" i="26"/>
  <c r="AT68" i="26"/>
  <c r="AU68" i="26"/>
  <c r="AW68" i="26"/>
  <c r="AX68" i="26"/>
  <c r="AY68" i="26"/>
  <c r="AZ68" i="26"/>
  <c r="DS68" i="26"/>
  <c r="CZ68" i="26"/>
  <c r="CY68" i="26"/>
  <c r="CR68" i="26"/>
  <c r="CN68" i="26"/>
  <c r="CM68" i="26"/>
  <c r="CG68" i="26"/>
  <c r="CF68" i="26"/>
  <c r="CE68" i="26"/>
  <c r="CD68" i="26"/>
  <c r="BZ68" i="26"/>
  <c r="BV68" i="26"/>
  <c r="O68" i="26"/>
  <c r="I68" i="26"/>
  <c r="K68" i="26"/>
  <c r="EJ67" i="26"/>
  <c r="AQ67" i="26"/>
  <c r="AR67" i="26"/>
  <c r="AS67" i="26"/>
  <c r="AT67" i="26"/>
  <c r="AU67" i="26"/>
  <c r="AW67" i="26"/>
  <c r="AX67" i="26"/>
  <c r="AY67" i="26"/>
  <c r="AZ67" i="26"/>
  <c r="DS67" i="26"/>
  <c r="CZ67" i="26"/>
  <c r="CY67" i="26"/>
  <c r="CR67" i="26"/>
  <c r="CN67" i="26"/>
  <c r="CM67" i="26"/>
  <c r="CG67" i="26"/>
  <c r="CF67" i="26"/>
  <c r="CE67" i="26"/>
  <c r="CD67" i="26"/>
  <c r="BZ67" i="26"/>
  <c r="BV67" i="26"/>
  <c r="O67" i="26"/>
  <c r="I67" i="26"/>
  <c r="K67" i="26"/>
  <c r="EJ66" i="26"/>
  <c r="DT66" i="26"/>
  <c r="AQ66" i="26"/>
  <c r="AR66" i="26"/>
  <c r="AS66" i="26"/>
  <c r="AT66" i="26"/>
  <c r="AU66" i="26"/>
  <c r="AW66" i="26"/>
  <c r="AX66" i="26"/>
  <c r="AY66" i="26"/>
  <c r="AZ66" i="26"/>
  <c r="DS66" i="26"/>
  <c r="CZ66" i="26"/>
  <c r="CY66" i="26"/>
  <c r="CR66" i="26"/>
  <c r="CN66" i="26"/>
  <c r="CM66" i="26"/>
  <c r="CG66" i="26"/>
  <c r="CF66" i="26"/>
  <c r="CE66" i="26"/>
  <c r="CD66" i="26"/>
  <c r="BZ66" i="26"/>
  <c r="BV66" i="26"/>
  <c r="P66" i="26"/>
  <c r="O66" i="26"/>
  <c r="I66" i="26"/>
  <c r="K66" i="26"/>
  <c r="EJ65" i="26"/>
  <c r="AQ65" i="26"/>
  <c r="AR65" i="26"/>
  <c r="AS65" i="26"/>
  <c r="AT65" i="26"/>
  <c r="AU65" i="26"/>
  <c r="AW65" i="26"/>
  <c r="AX65" i="26"/>
  <c r="AY65" i="26"/>
  <c r="AZ65" i="26"/>
  <c r="DS65" i="26"/>
  <c r="CZ65" i="26"/>
  <c r="CY65" i="26"/>
  <c r="CR65" i="26"/>
  <c r="CN65" i="26"/>
  <c r="CM65" i="26"/>
  <c r="CG65" i="26"/>
  <c r="CF65" i="26"/>
  <c r="CE65" i="26"/>
  <c r="CD65" i="26"/>
  <c r="BZ65" i="26"/>
  <c r="BV65" i="26"/>
  <c r="O65" i="26"/>
  <c r="I65" i="26"/>
  <c r="K65" i="26"/>
  <c r="EJ64" i="26"/>
  <c r="AQ64" i="26"/>
  <c r="AR64" i="26"/>
  <c r="AS64" i="26"/>
  <c r="AT64" i="26"/>
  <c r="AU64" i="26"/>
  <c r="AW64" i="26"/>
  <c r="AX64" i="26"/>
  <c r="AY64" i="26"/>
  <c r="AZ64" i="26"/>
  <c r="DS64" i="26"/>
  <c r="CZ64" i="26"/>
  <c r="CY64" i="26"/>
  <c r="CR64" i="26"/>
  <c r="CN64" i="26"/>
  <c r="CM64" i="26"/>
  <c r="CG64" i="26"/>
  <c r="CF64" i="26"/>
  <c r="CE64" i="26"/>
  <c r="CD64" i="26"/>
  <c r="BZ64" i="26"/>
  <c r="BV64" i="26"/>
  <c r="O64" i="26"/>
  <c r="I64" i="26"/>
  <c r="K64" i="26"/>
  <c r="EJ63" i="26"/>
  <c r="AQ63" i="26"/>
  <c r="AR63" i="26"/>
  <c r="AS63" i="26"/>
  <c r="AT63" i="26"/>
  <c r="AU63" i="26"/>
  <c r="AW63" i="26"/>
  <c r="AX63" i="26"/>
  <c r="AY63" i="26"/>
  <c r="AZ63" i="26"/>
  <c r="DS63" i="26"/>
  <c r="CZ63" i="26"/>
  <c r="CY63" i="26"/>
  <c r="CR63" i="26"/>
  <c r="CN63" i="26"/>
  <c r="CM63" i="26"/>
  <c r="CG63" i="26"/>
  <c r="CF63" i="26"/>
  <c r="CE63" i="26"/>
  <c r="CD63" i="26"/>
  <c r="BZ63" i="26"/>
  <c r="BV63" i="26"/>
  <c r="O63" i="26"/>
  <c r="I63" i="26"/>
  <c r="K63" i="26"/>
  <c r="EJ62" i="26"/>
  <c r="CR62" i="26"/>
  <c r="DX62" i="26"/>
  <c r="CM62" i="26"/>
  <c r="CN62" i="26"/>
  <c r="DW62" i="26"/>
  <c r="CD62" i="26"/>
  <c r="CG62" i="26"/>
  <c r="DV62" i="26"/>
  <c r="BV62" i="26"/>
  <c r="DU62" i="26"/>
  <c r="DT62" i="26"/>
  <c r="AQ62" i="26"/>
  <c r="AR62" i="26"/>
  <c r="AS62" i="26"/>
  <c r="AT62" i="26"/>
  <c r="AU62" i="26"/>
  <c r="AW62" i="26"/>
  <c r="AX62" i="26"/>
  <c r="AY62" i="26"/>
  <c r="AZ62" i="26"/>
  <c r="DS62" i="26"/>
  <c r="DR62" i="26"/>
  <c r="CZ62" i="26"/>
  <c r="CY62" i="26"/>
  <c r="CF62" i="26"/>
  <c r="CE62" i="26"/>
  <c r="BZ62" i="26"/>
  <c r="P62" i="26"/>
  <c r="O62" i="26"/>
  <c r="I62" i="26"/>
  <c r="K62" i="26"/>
  <c r="EJ61" i="26"/>
  <c r="CR61" i="26"/>
  <c r="DX61" i="26"/>
  <c r="CM61" i="26"/>
  <c r="CN61" i="26"/>
  <c r="DW61" i="26"/>
  <c r="CD61" i="26"/>
  <c r="CG61" i="26"/>
  <c r="DV61" i="26"/>
  <c r="BV61" i="26"/>
  <c r="DU61" i="26"/>
  <c r="DT61" i="26"/>
  <c r="AQ61" i="26"/>
  <c r="AR61" i="26"/>
  <c r="AS61" i="26"/>
  <c r="AT61" i="26"/>
  <c r="AU61" i="26"/>
  <c r="AW61" i="26"/>
  <c r="AX61" i="26"/>
  <c r="AY61" i="26"/>
  <c r="AZ61" i="26"/>
  <c r="DS61" i="26"/>
  <c r="DR61" i="26"/>
  <c r="CZ61" i="26"/>
  <c r="CY61" i="26"/>
  <c r="CF61" i="26"/>
  <c r="CE61" i="26"/>
  <c r="BZ61" i="26"/>
  <c r="P61" i="26"/>
  <c r="O61" i="26"/>
  <c r="I61" i="26"/>
  <c r="K61" i="26"/>
  <c r="EJ60" i="26"/>
  <c r="CR60" i="26"/>
  <c r="DX60" i="26"/>
  <c r="CM60" i="26"/>
  <c r="CN60" i="26"/>
  <c r="DW60" i="26"/>
  <c r="CD60" i="26"/>
  <c r="CG60" i="26"/>
  <c r="DV60" i="26"/>
  <c r="BV60" i="26"/>
  <c r="DU60" i="26"/>
  <c r="DT60" i="26"/>
  <c r="AQ60" i="26"/>
  <c r="AR60" i="26"/>
  <c r="AS60" i="26"/>
  <c r="AT60" i="26"/>
  <c r="AU60" i="26"/>
  <c r="AW60" i="26"/>
  <c r="AX60" i="26"/>
  <c r="AY60" i="26"/>
  <c r="AZ60" i="26"/>
  <c r="DS60" i="26"/>
  <c r="DR60" i="26"/>
  <c r="CZ60" i="26"/>
  <c r="CY60" i="26"/>
  <c r="CF60" i="26"/>
  <c r="CE60" i="26"/>
  <c r="BZ60" i="26"/>
  <c r="P60" i="26"/>
  <c r="O60" i="26"/>
  <c r="I60" i="26"/>
  <c r="K60" i="26"/>
  <c r="EJ59" i="26"/>
  <c r="CR59" i="26"/>
  <c r="DX59" i="26"/>
  <c r="CM59" i="26"/>
  <c r="CN59" i="26"/>
  <c r="DW59" i="26"/>
  <c r="CD59" i="26"/>
  <c r="CG59" i="26"/>
  <c r="DV59" i="26"/>
  <c r="BV59" i="26"/>
  <c r="DU59" i="26"/>
  <c r="DT59" i="26"/>
  <c r="AQ59" i="26"/>
  <c r="AR59" i="26"/>
  <c r="AS59" i="26"/>
  <c r="AT59" i="26"/>
  <c r="AU59" i="26"/>
  <c r="AW59" i="26"/>
  <c r="AX59" i="26"/>
  <c r="AY59" i="26"/>
  <c r="AZ59" i="26"/>
  <c r="DS59" i="26"/>
  <c r="DR59" i="26"/>
  <c r="CZ59" i="26"/>
  <c r="CY59" i="26"/>
  <c r="CF59" i="26"/>
  <c r="CE59" i="26"/>
  <c r="BZ59" i="26"/>
  <c r="P59" i="26"/>
  <c r="O59" i="26"/>
  <c r="I59" i="26"/>
  <c r="K59" i="26"/>
  <c r="EJ58" i="26"/>
  <c r="AQ58" i="26"/>
  <c r="AR58" i="26"/>
  <c r="AS58" i="26"/>
  <c r="AT58" i="26"/>
  <c r="AU58" i="26"/>
  <c r="AW58" i="26"/>
  <c r="AX58" i="26"/>
  <c r="AY58" i="26"/>
  <c r="AZ58" i="26"/>
  <c r="DS58" i="26"/>
  <c r="CZ58" i="26"/>
  <c r="CY58" i="26"/>
  <c r="CR58" i="26"/>
  <c r="CN58" i="26"/>
  <c r="CM58" i="26"/>
  <c r="CG58" i="26"/>
  <c r="CF58" i="26"/>
  <c r="CE58" i="26"/>
  <c r="CD58" i="26"/>
  <c r="BZ58" i="26"/>
  <c r="BV58" i="26"/>
  <c r="O58" i="26"/>
  <c r="I58" i="26"/>
  <c r="K58" i="26"/>
  <c r="EJ57" i="26"/>
  <c r="AQ57" i="26"/>
  <c r="AR57" i="26"/>
  <c r="AS57" i="26"/>
  <c r="AT57" i="26"/>
  <c r="AU57" i="26"/>
  <c r="AW57" i="26"/>
  <c r="AX57" i="26"/>
  <c r="AY57" i="26"/>
  <c r="AZ57" i="26"/>
  <c r="DS57" i="26"/>
  <c r="CZ57" i="26"/>
  <c r="CY57" i="26"/>
  <c r="CR57" i="26"/>
  <c r="CN57" i="26"/>
  <c r="CM57" i="26"/>
  <c r="CG57" i="26"/>
  <c r="CF57" i="26"/>
  <c r="CE57" i="26"/>
  <c r="CD57" i="26"/>
  <c r="BZ57" i="26"/>
  <c r="BV57" i="26"/>
  <c r="O57" i="26"/>
  <c r="I57" i="26"/>
  <c r="K57" i="26"/>
  <c r="EJ56" i="26"/>
  <c r="AQ56" i="26"/>
  <c r="AR56" i="26"/>
  <c r="AS56" i="26"/>
  <c r="AT56" i="26"/>
  <c r="AU56" i="26"/>
  <c r="AW56" i="26"/>
  <c r="AX56" i="26"/>
  <c r="AY56" i="26"/>
  <c r="AZ56" i="26"/>
  <c r="DS56" i="26"/>
  <c r="CZ56" i="26"/>
  <c r="CY56" i="26"/>
  <c r="CR56" i="26"/>
  <c r="CN56" i="26"/>
  <c r="CM56" i="26"/>
  <c r="CG56" i="26"/>
  <c r="CF56" i="26"/>
  <c r="CE56" i="26"/>
  <c r="CD56" i="26"/>
  <c r="BZ56" i="26"/>
  <c r="BV56" i="26"/>
  <c r="O56" i="26"/>
  <c r="I56" i="26"/>
  <c r="K56" i="26"/>
  <c r="EJ55" i="26"/>
  <c r="DT55" i="26"/>
  <c r="AQ55" i="26"/>
  <c r="AR55" i="26"/>
  <c r="AS55" i="26"/>
  <c r="AT55" i="26"/>
  <c r="AU55" i="26"/>
  <c r="AW55" i="26"/>
  <c r="AX55" i="26"/>
  <c r="AY55" i="26"/>
  <c r="AZ55" i="26"/>
  <c r="DS55" i="26"/>
  <c r="CZ55" i="26"/>
  <c r="CY55" i="26"/>
  <c r="CR55" i="26"/>
  <c r="CN55" i="26"/>
  <c r="CM55" i="26"/>
  <c r="CG55" i="26"/>
  <c r="CF55" i="26"/>
  <c r="CE55" i="26"/>
  <c r="CD55" i="26"/>
  <c r="BZ55" i="26"/>
  <c r="BV55" i="26"/>
  <c r="P55" i="26"/>
  <c r="O55" i="26"/>
  <c r="I55" i="26"/>
  <c r="K55" i="26"/>
  <c r="EJ54" i="26"/>
  <c r="CR54" i="26"/>
  <c r="DX54" i="26"/>
  <c r="CM54" i="26"/>
  <c r="CN54" i="26"/>
  <c r="DW54" i="26"/>
  <c r="CD54" i="26"/>
  <c r="CG54" i="26"/>
  <c r="DV54" i="26"/>
  <c r="BV54" i="26"/>
  <c r="DU54" i="26"/>
  <c r="DT54" i="26"/>
  <c r="AQ54" i="26"/>
  <c r="AR54" i="26"/>
  <c r="AS54" i="26"/>
  <c r="AT54" i="26"/>
  <c r="AU54" i="26"/>
  <c r="AW54" i="26"/>
  <c r="AX54" i="26"/>
  <c r="AY54" i="26"/>
  <c r="AZ54" i="26"/>
  <c r="DS54" i="26"/>
  <c r="DR54" i="26"/>
  <c r="CZ54" i="26"/>
  <c r="CY54" i="26"/>
  <c r="CF54" i="26"/>
  <c r="CE54" i="26"/>
  <c r="BZ54" i="26"/>
  <c r="P54" i="26"/>
  <c r="O54" i="26"/>
  <c r="I54" i="26"/>
  <c r="K54" i="26"/>
  <c r="EJ53" i="26"/>
  <c r="AQ53" i="26"/>
  <c r="AR53" i="26"/>
  <c r="AS53" i="26"/>
  <c r="AT53" i="26"/>
  <c r="AU53" i="26"/>
  <c r="AW53" i="26"/>
  <c r="AX53" i="26"/>
  <c r="AY53" i="26"/>
  <c r="AZ53" i="26"/>
  <c r="DS53" i="26"/>
  <c r="CZ53" i="26"/>
  <c r="CY53" i="26"/>
  <c r="CR53" i="26"/>
  <c r="CN53" i="26"/>
  <c r="CM53" i="26"/>
  <c r="CG53" i="26"/>
  <c r="CF53" i="26"/>
  <c r="CE53" i="26"/>
  <c r="CD53" i="26"/>
  <c r="BZ53" i="26"/>
  <c r="BV53" i="26"/>
  <c r="P53" i="26"/>
  <c r="O53" i="26"/>
  <c r="I53" i="26"/>
  <c r="K53" i="26"/>
  <c r="EJ52" i="26"/>
  <c r="CR52" i="26"/>
  <c r="DX52" i="26"/>
  <c r="CM52" i="26"/>
  <c r="CN52" i="26"/>
  <c r="DW52" i="26"/>
  <c r="CD52" i="26"/>
  <c r="CG52" i="26"/>
  <c r="DV52" i="26"/>
  <c r="BV52" i="26"/>
  <c r="DU52" i="26"/>
  <c r="DT52" i="26"/>
  <c r="AQ52" i="26"/>
  <c r="AR52" i="26"/>
  <c r="AS52" i="26"/>
  <c r="AT52" i="26"/>
  <c r="AU52" i="26"/>
  <c r="AW52" i="26"/>
  <c r="AX52" i="26"/>
  <c r="AY52" i="26"/>
  <c r="AZ52" i="26"/>
  <c r="DS52" i="26"/>
  <c r="DR52" i="26"/>
  <c r="CZ52" i="26"/>
  <c r="CY52" i="26"/>
  <c r="CF52" i="26"/>
  <c r="CE52" i="26"/>
  <c r="BZ52" i="26"/>
  <c r="P52" i="26"/>
  <c r="O52" i="26"/>
  <c r="I52" i="26"/>
  <c r="K52" i="26"/>
  <c r="EJ51" i="26"/>
  <c r="CR51" i="26"/>
  <c r="DX51" i="26"/>
  <c r="CM51" i="26"/>
  <c r="CN51" i="26"/>
  <c r="DW51" i="26"/>
  <c r="CD51" i="26"/>
  <c r="CG51" i="26"/>
  <c r="DV51" i="26"/>
  <c r="BV51" i="26"/>
  <c r="DU51" i="26"/>
  <c r="DT51" i="26"/>
  <c r="AQ51" i="26"/>
  <c r="AR51" i="26"/>
  <c r="AS51" i="26"/>
  <c r="AT51" i="26"/>
  <c r="AU51" i="26"/>
  <c r="AW51" i="26"/>
  <c r="AX51" i="26"/>
  <c r="AY51" i="26"/>
  <c r="AZ51" i="26"/>
  <c r="DS51" i="26"/>
  <c r="DR51" i="26"/>
  <c r="CZ51" i="26"/>
  <c r="CY51" i="26"/>
  <c r="CF51" i="26"/>
  <c r="CE51" i="26"/>
  <c r="BZ51" i="26"/>
  <c r="P51" i="26"/>
  <c r="O51" i="26"/>
  <c r="I51" i="26"/>
  <c r="K51" i="26"/>
  <c r="EJ50" i="26"/>
  <c r="CR50" i="26"/>
  <c r="DX50" i="26"/>
  <c r="CM50" i="26"/>
  <c r="CN50" i="26"/>
  <c r="DW50" i="26"/>
  <c r="CD50" i="26"/>
  <c r="CG50" i="26"/>
  <c r="DV50" i="26"/>
  <c r="BV50" i="26"/>
  <c r="DU50" i="26"/>
  <c r="DT50" i="26"/>
  <c r="AQ50" i="26"/>
  <c r="AR50" i="26"/>
  <c r="AS50" i="26"/>
  <c r="AT50" i="26"/>
  <c r="AU50" i="26"/>
  <c r="AW50" i="26"/>
  <c r="AX50" i="26"/>
  <c r="AY50" i="26"/>
  <c r="AZ50" i="26"/>
  <c r="DS50" i="26"/>
  <c r="DR50" i="26"/>
  <c r="CZ50" i="26"/>
  <c r="CY50" i="26"/>
  <c r="CF50" i="26"/>
  <c r="CE50" i="26"/>
  <c r="BZ50" i="26"/>
  <c r="P50" i="26"/>
  <c r="O50" i="26"/>
  <c r="I50" i="26"/>
  <c r="K50" i="26"/>
  <c r="EJ49" i="26"/>
  <c r="CR49" i="26"/>
  <c r="DX49" i="26"/>
  <c r="CM49" i="26"/>
  <c r="CN49" i="26"/>
  <c r="DW49" i="26"/>
  <c r="CD49" i="26"/>
  <c r="CG49" i="26"/>
  <c r="DV49" i="26"/>
  <c r="BV49" i="26"/>
  <c r="DU49" i="26"/>
  <c r="DT49" i="26"/>
  <c r="AQ49" i="26"/>
  <c r="AR49" i="26"/>
  <c r="AS49" i="26"/>
  <c r="AT49" i="26"/>
  <c r="AU49" i="26"/>
  <c r="AW49" i="26"/>
  <c r="AX49" i="26"/>
  <c r="AY49" i="26"/>
  <c r="AZ49" i="26"/>
  <c r="DS49" i="26"/>
  <c r="DR49" i="26"/>
  <c r="CZ49" i="26"/>
  <c r="CY49" i="26"/>
  <c r="CF49" i="26"/>
  <c r="CE49" i="26"/>
  <c r="BZ49" i="26"/>
  <c r="P49" i="26"/>
  <c r="O49" i="26"/>
  <c r="I49" i="26"/>
  <c r="K49" i="26"/>
  <c r="EJ48" i="26"/>
  <c r="CR48" i="26"/>
  <c r="DX48" i="26"/>
  <c r="CM48" i="26"/>
  <c r="CN48" i="26"/>
  <c r="DW48" i="26"/>
  <c r="CD48" i="26"/>
  <c r="CG48" i="26"/>
  <c r="DV48" i="26"/>
  <c r="BV48" i="26"/>
  <c r="DU48" i="26"/>
  <c r="DT48" i="26"/>
  <c r="AQ48" i="26"/>
  <c r="AR48" i="26"/>
  <c r="AS48" i="26"/>
  <c r="AT48" i="26"/>
  <c r="AU48" i="26"/>
  <c r="AW48" i="26"/>
  <c r="AX48" i="26"/>
  <c r="AY48" i="26"/>
  <c r="AZ48" i="26"/>
  <c r="DS48" i="26"/>
  <c r="DR48" i="26"/>
  <c r="CZ48" i="26"/>
  <c r="CY48" i="26"/>
  <c r="CF48" i="26"/>
  <c r="CE48" i="26"/>
  <c r="BZ48" i="26"/>
  <c r="P48" i="26"/>
  <c r="O48" i="26"/>
  <c r="I48" i="26"/>
  <c r="K48" i="26"/>
  <c r="EJ47" i="26"/>
  <c r="AQ47" i="26"/>
  <c r="AR47" i="26"/>
  <c r="AS47" i="26"/>
  <c r="AT47" i="26"/>
  <c r="AU47" i="26"/>
  <c r="AW47" i="26"/>
  <c r="AX47" i="26"/>
  <c r="AY47" i="26"/>
  <c r="AZ47" i="26"/>
  <c r="DS47" i="26"/>
  <c r="CZ47" i="26"/>
  <c r="CY47" i="26"/>
  <c r="CR47" i="26"/>
  <c r="CN47" i="26"/>
  <c r="CM47" i="26"/>
  <c r="CG47" i="26"/>
  <c r="CF47" i="26"/>
  <c r="CE47" i="26"/>
  <c r="CD47" i="26"/>
  <c r="BZ47" i="26"/>
  <c r="BV47" i="26"/>
  <c r="O47" i="26"/>
  <c r="I47" i="26"/>
  <c r="K47" i="26"/>
  <c r="EJ46" i="26"/>
  <c r="AQ46" i="26"/>
  <c r="AR46" i="26"/>
  <c r="AS46" i="26"/>
  <c r="AT46" i="26"/>
  <c r="AU46" i="26"/>
  <c r="AW46" i="26"/>
  <c r="AX46" i="26"/>
  <c r="AY46" i="26"/>
  <c r="AZ46" i="26"/>
  <c r="DS46" i="26"/>
  <c r="CZ46" i="26"/>
  <c r="CY46" i="26"/>
  <c r="CR46" i="26"/>
  <c r="CN46" i="26"/>
  <c r="CM46" i="26"/>
  <c r="CG46" i="26"/>
  <c r="CF46" i="26"/>
  <c r="CE46" i="26"/>
  <c r="CD46" i="26"/>
  <c r="BZ46" i="26"/>
  <c r="BV46" i="26"/>
  <c r="O46" i="26"/>
  <c r="I46" i="26"/>
  <c r="K46" i="26"/>
  <c r="EJ45" i="26"/>
  <c r="AQ45" i="26"/>
  <c r="AR45" i="26"/>
  <c r="AS45" i="26"/>
  <c r="AT45" i="26"/>
  <c r="AU45" i="26"/>
  <c r="AW45" i="26"/>
  <c r="AX45" i="26"/>
  <c r="AY45" i="26"/>
  <c r="AZ45" i="26"/>
  <c r="DS45" i="26"/>
  <c r="CZ45" i="26"/>
  <c r="CY45" i="26"/>
  <c r="CR45" i="26"/>
  <c r="CN45" i="26"/>
  <c r="CM45" i="26"/>
  <c r="CG45" i="26"/>
  <c r="CF45" i="26"/>
  <c r="CE45" i="26"/>
  <c r="CD45" i="26"/>
  <c r="BZ45" i="26"/>
  <c r="BV45" i="26"/>
  <c r="O45" i="26"/>
  <c r="I45" i="26"/>
  <c r="K45" i="26"/>
  <c r="EJ44" i="26"/>
  <c r="CR44" i="26"/>
  <c r="DX44" i="26"/>
  <c r="CM44" i="26"/>
  <c r="CN44" i="26"/>
  <c r="DW44" i="26"/>
  <c r="CD44" i="26"/>
  <c r="CG44" i="26"/>
  <c r="DV44" i="26"/>
  <c r="BV44" i="26"/>
  <c r="DU44" i="26"/>
  <c r="DT44" i="26"/>
  <c r="AQ44" i="26"/>
  <c r="AR44" i="26"/>
  <c r="AS44" i="26"/>
  <c r="AT44" i="26"/>
  <c r="AU44" i="26"/>
  <c r="AW44" i="26"/>
  <c r="AX44" i="26"/>
  <c r="AY44" i="26"/>
  <c r="AZ44" i="26"/>
  <c r="DS44" i="26"/>
  <c r="DR44" i="26"/>
  <c r="CZ44" i="26"/>
  <c r="CY44" i="26"/>
  <c r="CF44" i="26"/>
  <c r="CE44" i="26"/>
  <c r="BZ44" i="26"/>
  <c r="P44" i="26"/>
  <c r="O44" i="26"/>
  <c r="I44" i="26"/>
  <c r="K44" i="26"/>
  <c r="EJ43" i="26"/>
  <c r="CR43" i="26"/>
  <c r="DX43" i="26"/>
  <c r="CM43" i="26"/>
  <c r="CN43" i="26"/>
  <c r="DW43" i="26"/>
  <c r="CD43" i="26"/>
  <c r="CG43" i="26"/>
  <c r="DV43" i="26"/>
  <c r="BV43" i="26"/>
  <c r="DU43" i="26"/>
  <c r="DT43" i="26"/>
  <c r="AQ43" i="26"/>
  <c r="AR43" i="26"/>
  <c r="AS43" i="26"/>
  <c r="AT43" i="26"/>
  <c r="AU43" i="26"/>
  <c r="AW43" i="26"/>
  <c r="AX43" i="26"/>
  <c r="AY43" i="26"/>
  <c r="AZ43" i="26"/>
  <c r="DS43" i="26"/>
  <c r="DR43" i="26"/>
  <c r="CZ43" i="26"/>
  <c r="CY43" i="26"/>
  <c r="CF43" i="26"/>
  <c r="CE43" i="26"/>
  <c r="BZ43" i="26"/>
  <c r="P43" i="26"/>
  <c r="O43" i="26"/>
  <c r="I43" i="26"/>
  <c r="K43" i="26"/>
  <c r="EJ42" i="26"/>
  <c r="CR42" i="26"/>
  <c r="DX42" i="26"/>
  <c r="CM42" i="26"/>
  <c r="CN42" i="26"/>
  <c r="DW42" i="26"/>
  <c r="CD42" i="26"/>
  <c r="CG42" i="26"/>
  <c r="DV42" i="26"/>
  <c r="BV42" i="26"/>
  <c r="DU42" i="26"/>
  <c r="DT42" i="26"/>
  <c r="AQ42" i="26"/>
  <c r="AR42" i="26"/>
  <c r="AS42" i="26"/>
  <c r="AT42" i="26"/>
  <c r="AU42" i="26"/>
  <c r="AW42" i="26"/>
  <c r="AX42" i="26"/>
  <c r="AY42" i="26"/>
  <c r="AZ42" i="26"/>
  <c r="DS42" i="26"/>
  <c r="DR42" i="26"/>
  <c r="CZ42" i="26"/>
  <c r="CY42" i="26"/>
  <c r="CF42" i="26"/>
  <c r="CE42" i="26"/>
  <c r="BZ42" i="26"/>
  <c r="P42" i="26"/>
  <c r="O42" i="26"/>
  <c r="I42" i="26"/>
  <c r="K42" i="26"/>
  <c r="EJ41" i="26"/>
  <c r="AQ41" i="26"/>
  <c r="AR41" i="26"/>
  <c r="AS41" i="26"/>
  <c r="AT41" i="26"/>
  <c r="AU41" i="26"/>
  <c r="AW41" i="26"/>
  <c r="AX41" i="26"/>
  <c r="AY41" i="26"/>
  <c r="AZ41" i="26"/>
  <c r="DS41" i="26"/>
  <c r="CZ41" i="26"/>
  <c r="CY41" i="26"/>
  <c r="CR41" i="26"/>
  <c r="CN41" i="26"/>
  <c r="CM41" i="26"/>
  <c r="CG41" i="26"/>
  <c r="CF41" i="26"/>
  <c r="CE41" i="26"/>
  <c r="CD41" i="26"/>
  <c r="BZ41" i="26"/>
  <c r="BV41" i="26"/>
  <c r="O41" i="26"/>
  <c r="I41" i="26"/>
  <c r="K41" i="26"/>
  <c r="EJ40" i="26"/>
  <c r="DT40" i="26"/>
  <c r="AQ40" i="26"/>
  <c r="AR40" i="26"/>
  <c r="AS40" i="26"/>
  <c r="AT40" i="26"/>
  <c r="AU40" i="26"/>
  <c r="AW40" i="26"/>
  <c r="AX40" i="26"/>
  <c r="AY40" i="26"/>
  <c r="AZ40" i="26"/>
  <c r="DS40" i="26"/>
  <c r="CZ40" i="26"/>
  <c r="CY40" i="26"/>
  <c r="CR40" i="26"/>
  <c r="CN40" i="26"/>
  <c r="CM40" i="26"/>
  <c r="CG40" i="26"/>
  <c r="CF40" i="26"/>
  <c r="CE40" i="26"/>
  <c r="CD40" i="26"/>
  <c r="BZ40" i="26"/>
  <c r="BV40" i="26"/>
  <c r="O40" i="26"/>
  <c r="I40" i="26"/>
  <c r="K40" i="26"/>
  <c r="EJ39" i="26"/>
  <c r="AQ39" i="26"/>
  <c r="AR39" i="26"/>
  <c r="AS39" i="26"/>
  <c r="AT39" i="26"/>
  <c r="AU39" i="26"/>
  <c r="AW39" i="26"/>
  <c r="AX39" i="26"/>
  <c r="AY39" i="26"/>
  <c r="AZ39" i="26"/>
  <c r="DS39" i="26"/>
  <c r="CZ39" i="26"/>
  <c r="CY39" i="26"/>
  <c r="CR39" i="26"/>
  <c r="CN39" i="26"/>
  <c r="CM39" i="26"/>
  <c r="CG39" i="26"/>
  <c r="CF39" i="26"/>
  <c r="CE39" i="26"/>
  <c r="CD39" i="26"/>
  <c r="BZ39" i="26"/>
  <c r="BV39" i="26"/>
  <c r="O39" i="26"/>
  <c r="I39" i="26"/>
  <c r="K39" i="26"/>
  <c r="EJ38" i="26"/>
  <c r="AQ38" i="26"/>
  <c r="AR38" i="26"/>
  <c r="AS38" i="26"/>
  <c r="AT38" i="26"/>
  <c r="AU38" i="26"/>
  <c r="AW38" i="26"/>
  <c r="AX38" i="26"/>
  <c r="AY38" i="26"/>
  <c r="AZ38" i="26"/>
  <c r="DS38" i="26"/>
  <c r="CZ38" i="26"/>
  <c r="CY38" i="26"/>
  <c r="CR38" i="26"/>
  <c r="CN38" i="26"/>
  <c r="CM38" i="26"/>
  <c r="CG38" i="26"/>
  <c r="CF38" i="26"/>
  <c r="CE38" i="26"/>
  <c r="CD38" i="26"/>
  <c r="BZ38" i="26"/>
  <c r="BV38" i="26"/>
  <c r="O38" i="26"/>
  <c r="I38" i="26"/>
  <c r="K38" i="26"/>
  <c r="EJ37" i="26"/>
  <c r="AQ37" i="26"/>
  <c r="AR37" i="26"/>
  <c r="AS37" i="26"/>
  <c r="AT37" i="26"/>
  <c r="AU37" i="26"/>
  <c r="AW37" i="26"/>
  <c r="AX37" i="26"/>
  <c r="AY37" i="26"/>
  <c r="AZ37" i="26"/>
  <c r="DS37" i="26"/>
  <c r="CZ37" i="26"/>
  <c r="CY37" i="26"/>
  <c r="CR37" i="26"/>
  <c r="CN37" i="26"/>
  <c r="CM37" i="26"/>
  <c r="CG37" i="26"/>
  <c r="CF37" i="26"/>
  <c r="CE37" i="26"/>
  <c r="CD37" i="26"/>
  <c r="BZ37" i="26"/>
  <c r="BV37" i="26"/>
  <c r="O37" i="26"/>
  <c r="I37" i="26"/>
  <c r="K37" i="26"/>
  <c r="EJ36" i="26"/>
  <c r="CR36" i="26"/>
  <c r="DX36" i="26"/>
  <c r="CM36" i="26"/>
  <c r="CN36" i="26"/>
  <c r="DW36" i="26"/>
  <c r="CD36" i="26"/>
  <c r="CG36" i="26"/>
  <c r="DV36" i="26"/>
  <c r="BV36" i="26"/>
  <c r="DU36" i="26"/>
  <c r="DT36" i="26"/>
  <c r="AQ36" i="26"/>
  <c r="AR36" i="26"/>
  <c r="AS36" i="26"/>
  <c r="AT36" i="26"/>
  <c r="AU36" i="26"/>
  <c r="AW36" i="26"/>
  <c r="AX36" i="26"/>
  <c r="AY36" i="26"/>
  <c r="AZ36" i="26"/>
  <c r="DS36" i="26"/>
  <c r="DR36" i="26"/>
  <c r="CZ36" i="26"/>
  <c r="CY36" i="26"/>
  <c r="CF36" i="26"/>
  <c r="CE36" i="26"/>
  <c r="BZ36" i="26"/>
  <c r="P36" i="26"/>
  <c r="O36" i="26"/>
  <c r="I36" i="26"/>
  <c r="K36" i="26"/>
  <c r="EJ35" i="26"/>
  <c r="CR35" i="26"/>
  <c r="DX35" i="26"/>
  <c r="CM35" i="26"/>
  <c r="CN35" i="26"/>
  <c r="DW35" i="26"/>
  <c r="CD35" i="26"/>
  <c r="CG35" i="26"/>
  <c r="DV35" i="26"/>
  <c r="BV35" i="26"/>
  <c r="DU35" i="26"/>
  <c r="DT35" i="26"/>
  <c r="AQ35" i="26"/>
  <c r="AR35" i="26"/>
  <c r="AS35" i="26"/>
  <c r="AT35" i="26"/>
  <c r="AU35" i="26"/>
  <c r="AW35" i="26"/>
  <c r="AX35" i="26"/>
  <c r="AY35" i="26"/>
  <c r="AZ35" i="26"/>
  <c r="DS35" i="26"/>
  <c r="DR35" i="26"/>
  <c r="CZ35" i="26"/>
  <c r="CY35" i="26"/>
  <c r="CF35" i="26"/>
  <c r="CE35" i="26"/>
  <c r="BZ35" i="26"/>
  <c r="P35" i="26"/>
  <c r="O35" i="26"/>
  <c r="I35" i="26"/>
  <c r="K35" i="26"/>
  <c r="EJ34" i="26"/>
  <c r="AQ34" i="26"/>
  <c r="AR34" i="26"/>
  <c r="AS34" i="26"/>
  <c r="AT34" i="26"/>
  <c r="AU34" i="26"/>
  <c r="AW34" i="26"/>
  <c r="AX34" i="26"/>
  <c r="AY34" i="26"/>
  <c r="AZ34" i="26"/>
  <c r="DS34" i="26"/>
  <c r="CZ34" i="26"/>
  <c r="CY34" i="26"/>
  <c r="CR34" i="26"/>
  <c r="CN34" i="26"/>
  <c r="CM34" i="26"/>
  <c r="CG34" i="26"/>
  <c r="CF34" i="26"/>
  <c r="CE34" i="26"/>
  <c r="CD34" i="26"/>
  <c r="BZ34" i="26"/>
  <c r="BV34" i="26"/>
  <c r="O34" i="26"/>
  <c r="I34" i="26"/>
  <c r="K34" i="26"/>
  <c r="EJ33" i="26"/>
  <c r="CR33" i="26"/>
  <c r="DX33" i="26"/>
  <c r="CM33" i="26"/>
  <c r="CN33" i="26"/>
  <c r="DW33" i="26"/>
  <c r="CD33" i="26"/>
  <c r="CG33" i="26"/>
  <c r="DV33" i="26"/>
  <c r="BV33" i="26"/>
  <c r="DU33" i="26"/>
  <c r="DT33" i="26"/>
  <c r="AQ33" i="26"/>
  <c r="AR33" i="26"/>
  <c r="AS33" i="26"/>
  <c r="AT33" i="26"/>
  <c r="AU33" i="26"/>
  <c r="AW33" i="26"/>
  <c r="AX33" i="26"/>
  <c r="AY33" i="26"/>
  <c r="AZ33" i="26"/>
  <c r="DS33" i="26"/>
  <c r="DR33" i="26"/>
  <c r="CZ33" i="26"/>
  <c r="CY33" i="26"/>
  <c r="CF33" i="26"/>
  <c r="CE33" i="26"/>
  <c r="BZ33" i="26"/>
  <c r="P33" i="26"/>
  <c r="O33" i="26"/>
  <c r="I33" i="26"/>
  <c r="K33" i="26"/>
  <c r="EJ32" i="26"/>
  <c r="CR32" i="26"/>
  <c r="DX32" i="26"/>
  <c r="CM32" i="26"/>
  <c r="CN32" i="26"/>
  <c r="DW32" i="26"/>
  <c r="CD32" i="26"/>
  <c r="CG32" i="26"/>
  <c r="DV32" i="26"/>
  <c r="BV32" i="26"/>
  <c r="DU32" i="26"/>
  <c r="DT32" i="26"/>
  <c r="AQ32" i="26"/>
  <c r="AR32" i="26"/>
  <c r="AS32" i="26"/>
  <c r="AT32" i="26"/>
  <c r="AU32" i="26"/>
  <c r="AW32" i="26"/>
  <c r="AX32" i="26"/>
  <c r="AY32" i="26"/>
  <c r="AZ32" i="26"/>
  <c r="DS32" i="26"/>
  <c r="DR32" i="26"/>
  <c r="CZ32" i="26"/>
  <c r="CY32" i="26"/>
  <c r="CF32" i="26"/>
  <c r="CE32" i="26"/>
  <c r="BZ32" i="26"/>
  <c r="P32" i="26"/>
  <c r="O32" i="26"/>
  <c r="I32" i="26"/>
  <c r="K32" i="26"/>
  <c r="EJ31" i="26"/>
  <c r="CR31" i="26"/>
  <c r="DX31" i="26"/>
  <c r="CM31" i="26"/>
  <c r="CN31" i="26"/>
  <c r="DW31" i="26"/>
  <c r="CD31" i="26"/>
  <c r="CG31" i="26"/>
  <c r="DV31" i="26"/>
  <c r="BV31" i="26"/>
  <c r="DU31" i="26"/>
  <c r="DT31" i="26"/>
  <c r="AQ31" i="26"/>
  <c r="AR31" i="26"/>
  <c r="AS31" i="26"/>
  <c r="AT31" i="26"/>
  <c r="AU31" i="26"/>
  <c r="AW31" i="26"/>
  <c r="AX31" i="26"/>
  <c r="AY31" i="26"/>
  <c r="AZ31" i="26"/>
  <c r="DS31" i="26"/>
  <c r="DR31" i="26"/>
  <c r="CZ31" i="26"/>
  <c r="CY31" i="26"/>
  <c r="CF31" i="26"/>
  <c r="CE31" i="26"/>
  <c r="BZ31" i="26"/>
  <c r="P31" i="26"/>
  <c r="O31" i="26"/>
  <c r="I31" i="26"/>
  <c r="K31" i="26"/>
  <c r="EJ30" i="26"/>
  <c r="CR30" i="26"/>
  <c r="DX30" i="26"/>
  <c r="CM30" i="26"/>
  <c r="CN30" i="26"/>
  <c r="DW30" i="26"/>
  <c r="CD30" i="26"/>
  <c r="CG30" i="26"/>
  <c r="DV30" i="26"/>
  <c r="BV30" i="26"/>
  <c r="DU30" i="26"/>
  <c r="DT30" i="26"/>
  <c r="AQ30" i="26"/>
  <c r="AR30" i="26"/>
  <c r="AS30" i="26"/>
  <c r="AT30" i="26"/>
  <c r="AU30" i="26"/>
  <c r="AW30" i="26"/>
  <c r="AX30" i="26"/>
  <c r="AY30" i="26"/>
  <c r="AZ30" i="26"/>
  <c r="DS30" i="26"/>
  <c r="DR30" i="26"/>
  <c r="CZ30" i="26"/>
  <c r="CY30" i="26"/>
  <c r="CF30" i="26"/>
  <c r="CE30" i="26"/>
  <c r="BZ30" i="26"/>
  <c r="P30" i="26"/>
  <c r="O30" i="26"/>
  <c r="I30" i="26"/>
  <c r="K30" i="26"/>
  <c r="EJ29" i="26"/>
  <c r="AQ29" i="26"/>
  <c r="AR29" i="26"/>
  <c r="AS29" i="26"/>
  <c r="AT29" i="26"/>
  <c r="AU29" i="26"/>
  <c r="AW29" i="26"/>
  <c r="AX29" i="26"/>
  <c r="AY29" i="26"/>
  <c r="AZ29" i="26"/>
  <c r="DS29" i="26"/>
  <c r="CZ29" i="26"/>
  <c r="CY29" i="26"/>
  <c r="CR29" i="26"/>
  <c r="CN29" i="26"/>
  <c r="CM29" i="26"/>
  <c r="CG29" i="26"/>
  <c r="CF29" i="26"/>
  <c r="CE29" i="26"/>
  <c r="CD29" i="26"/>
  <c r="BZ29" i="26"/>
  <c r="BV29" i="26"/>
  <c r="O29" i="26"/>
  <c r="I29" i="26"/>
  <c r="K29" i="26"/>
  <c r="EJ28" i="26"/>
  <c r="CR28" i="26"/>
  <c r="DX28" i="26"/>
  <c r="CM28" i="26"/>
  <c r="CN28" i="26"/>
  <c r="DW28" i="26"/>
  <c r="CD28" i="26"/>
  <c r="CG28" i="26"/>
  <c r="DV28" i="26"/>
  <c r="BV28" i="26"/>
  <c r="DU28" i="26"/>
  <c r="DT28" i="26"/>
  <c r="AQ28" i="26"/>
  <c r="AR28" i="26"/>
  <c r="AS28" i="26"/>
  <c r="AT28" i="26"/>
  <c r="AU28" i="26"/>
  <c r="AW28" i="26"/>
  <c r="AX28" i="26"/>
  <c r="AY28" i="26"/>
  <c r="AZ28" i="26"/>
  <c r="DS28" i="26"/>
  <c r="DR28" i="26"/>
  <c r="CZ28" i="26"/>
  <c r="CY28" i="26"/>
  <c r="CF28" i="26"/>
  <c r="CE28" i="26"/>
  <c r="BZ28" i="26"/>
  <c r="P28" i="26"/>
  <c r="O28" i="26"/>
  <c r="I28" i="26"/>
  <c r="K28" i="26"/>
  <c r="EJ27" i="26"/>
  <c r="CR27" i="26"/>
  <c r="DX27" i="26"/>
  <c r="CM27" i="26"/>
  <c r="CN27" i="26"/>
  <c r="DW27" i="26"/>
  <c r="CD27" i="26"/>
  <c r="CG27" i="26"/>
  <c r="DV27" i="26"/>
  <c r="BV27" i="26"/>
  <c r="DU27" i="26"/>
  <c r="DT27" i="26"/>
  <c r="AQ27" i="26"/>
  <c r="AR27" i="26"/>
  <c r="AS27" i="26"/>
  <c r="AT27" i="26"/>
  <c r="AU27" i="26"/>
  <c r="AW27" i="26"/>
  <c r="AX27" i="26"/>
  <c r="AY27" i="26"/>
  <c r="AZ27" i="26"/>
  <c r="DS27" i="26"/>
  <c r="DR27" i="26"/>
  <c r="CZ27" i="26"/>
  <c r="CY27" i="26"/>
  <c r="CF27" i="26"/>
  <c r="CE27" i="26"/>
  <c r="BZ27" i="26"/>
  <c r="P27" i="26"/>
  <c r="O27" i="26"/>
  <c r="I27" i="26"/>
  <c r="K27" i="26"/>
  <c r="EJ26" i="26"/>
  <c r="CR26" i="26"/>
  <c r="DX26" i="26"/>
  <c r="CM26" i="26"/>
  <c r="CN26" i="26"/>
  <c r="DW26" i="26"/>
  <c r="CD26" i="26"/>
  <c r="CG26" i="26"/>
  <c r="DV26" i="26"/>
  <c r="BV26" i="26"/>
  <c r="DU26" i="26"/>
  <c r="DT26" i="26"/>
  <c r="AQ26" i="26"/>
  <c r="AR26" i="26"/>
  <c r="AS26" i="26"/>
  <c r="AT26" i="26"/>
  <c r="AU26" i="26"/>
  <c r="AW26" i="26"/>
  <c r="AX26" i="26"/>
  <c r="AY26" i="26"/>
  <c r="AZ26" i="26"/>
  <c r="DS26" i="26"/>
  <c r="DR26" i="26"/>
  <c r="CZ26" i="26"/>
  <c r="CY26" i="26"/>
  <c r="CF26" i="26"/>
  <c r="CE26" i="26"/>
  <c r="BZ26" i="26"/>
  <c r="P26" i="26"/>
  <c r="O26" i="26"/>
  <c r="I26" i="26"/>
  <c r="K26" i="26"/>
  <c r="EJ25" i="26"/>
  <c r="CR25" i="26"/>
  <c r="DX25" i="26"/>
  <c r="CM25" i="26"/>
  <c r="CN25" i="26"/>
  <c r="DW25" i="26"/>
  <c r="CD25" i="26"/>
  <c r="CG25" i="26"/>
  <c r="DV25" i="26"/>
  <c r="BV25" i="26"/>
  <c r="DU25" i="26"/>
  <c r="DT25" i="26"/>
  <c r="AQ25" i="26"/>
  <c r="AR25" i="26"/>
  <c r="AS25" i="26"/>
  <c r="AT25" i="26"/>
  <c r="AU25" i="26"/>
  <c r="AW25" i="26"/>
  <c r="AX25" i="26"/>
  <c r="AY25" i="26"/>
  <c r="AZ25" i="26"/>
  <c r="DS25" i="26"/>
  <c r="DR25" i="26"/>
  <c r="CZ25" i="26"/>
  <c r="CY25" i="26"/>
  <c r="CF25" i="26"/>
  <c r="CE25" i="26"/>
  <c r="BZ25" i="26"/>
  <c r="P25" i="26"/>
  <c r="O25" i="26"/>
  <c r="I25" i="26"/>
  <c r="K25" i="26"/>
  <c r="EJ24" i="26"/>
  <c r="CR24" i="26"/>
  <c r="DX24" i="26"/>
  <c r="CM24" i="26"/>
  <c r="CN24" i="26"/>
  <c r="DW24" i="26"/>
  <c r="CD24" i="26"/>
  <c r="CG24" i="26"/>
  <c r="DV24" i="26"/>
  <c r="BV24" i="26"/>
  <c r="DU24" i="26"/>
  <c r="DT24" i="26"/>
  <c r="AQ24" i="26"/>
  <c r="AR24" i="26"/>
  <c r="AS24" i="26"/>
  <c r="AT24" i="26"/>
  <c r="AU24" i="26"/>
  <c r="AW24" i="26"/>
  <c r="AX24" i="26"/>
  <c r="AY24" i="26"/>
  <c r="AZ24" i="26"/>
  <c r="DS24" i="26"/>
  <c r="DR24" i="26"/>
  <c r="CZ24" i="26"/>
  <c r="CY24" i="26"/>
  <c r="CF24" i="26"/>
  <c r="CE24" i="26"/>
  <c r="BZ24" i="26"/>
  <c r="P24" i="26"/>
  <c r="O24" i="26"/>
  <c r="I24" i="26"/>
  <c r="K24" i="26"/>
  <c r="EJ23" i="26"/>
  <c r="AQ23" i="26"/>
  <c r="AR23" i="26"/>
  <c r="AS23" i="26"/>
  <c r="AT23" i="26"/>
  <c r="AU23" i="26"/>
  <c r="AW23" i="26"/>
  <c r="AX23" i="26"/>
  <c r="AY23" i="26"/>
  <c r="AZ23" i="26"/>
  <c r="DS23" i="26"/>
  <c r="CZ23" i="26"/>
  <c r="CY23" i="26"/>
  <c r="CR23" i="26"/>
  <c r="CN23" i="26"/>
  <c r="CM23" i="26"/>
  <c r="CG23" i="26"/>
  <c r="CF23" i="26"/>
  <c r="CE23" i="26"/>
  <c r="CD23" i="26"/>
  <c r="BZ23" i="26"/>
  <c r="BV23" i="26"/>
  <c r="O23" i="26"/>
  <c r="I23" i="26"/>
  <c r="K23" i="26"/>
  <c r="EJ22" i="26"/>
  <c r="AQ22" i="26"/>
  <c r="AR22" i="26"/>
  <c r="AS22" i="26"/>
  <c r="AT22" i="26"/>
  <c r="AU22" i="26"/>
  <c r="AW22" i="26"/>
  <c r="AX22" i="26"/>
  <c r="AY22" i="26"/>
  <c r="AZ22" i="26"/>
  <c r="DS22" i="26"/>
  <c r="CZ22" i="26"/>
  <c r="CY22" i="26"/>
  <c r="CR22" i="26"/>
  <c r="CN22" i="26"/>
  <c r="CM22" i="26"/>
  <c r="CG22" i="26"/>
  <c r="CF22" i="26"/>
  <c r="CE22" i="26"/>
  <c r="CD22" i="26"/>
  <c r="BZ22" i="26"/>
  <c r="BV22" i="26"/>
  <c r="P22" i="26"/>
  <c r="O22" i="26"/>
  <c r="I22" i="26"/>
  <c r="K22" i="26"/>
  <c r="EJ21" i="26"/>
  <c r="AQ21" i="26"/>
  <c r="AR21" i="26"/>
  <c r="AS21" i="26"/>
  <c r="AT21" i="26"/>
  <c r="AU21" i="26"/>
  <c r="AW21" i="26"/>
  <c r="AX21" i="26"/>
  <c r="AY21" i="26"/>
  <c r="AZ21" i="26"/>
  <c r="DS21" i="26"/>
  <c r="CZ21" i="26"/>
  <c r="CY21" i="26"/>
  <c r="CR21" i="26"/>
  <c r="CN21" i="26"/>
  <c r="CM21" i="26"/>
  <c r="CG21" i="26"/>
  <c r="CF21" i="26"/>
  <c r="CE21" i="26"/>
  <c r="CD21" i="26"/>
  <c r="BZ21" i="26"/>
  <c r="BV21" i="26"/>
  <c r="O21" i="26"/>
  <c r="I21" i="26"/>
  <c r="K21" i="26"/>
  <c r="EJ20" i="26"/>
  <c r="CR20" i="26"/>
  <c r="DX20" i="26"/>
  <c r="CM20" i="26"/>
  <c r="CN20" i="26"/>
  <c r="DW20" i="26"/>
  <c r="CD20" i="26"/>
  <c r="CG20" i="26"/>
  <c r="DV20" i="26"/>
  <c r="BV20" i="26"/>
  <c r="DU20" i="26"/>
  <c r="DT20" i="26"/>
  <c r="AQ20" i="26"/>
  <c r="AR20" i="26"/>
  <c r="AS20" i="26"/>
  <c r="AT20" i="26"/>
  <c r="AU20" i="26"/>
  <c r="AW20" i="26"/>
  <c r="AX20" i="26"/>
  <c r="AY20" i="26"/>
  <c r="AZ20" i="26"/>
  <c r="DS20" i="26"/>
  <c r="DR20" i="26"/>
  <c r="CZ20" i="26"/>
  <c r="CY20" i="26"/>
  <c r="CF20" i="26"/>
  <c r="CE20" i="26"/>
  <c r="BZ20" i="26"/>
  <c r="P20" i="26"/>
  <c r="O20" i="26"/>
  <c r="I20" i="26"/>
  <c r="K20" i="26"/>
  <c r="EJ19" i="26"/>
  <c r="AQ19" i="26"/>
  <c r="AR19" i="26"/>
  <c r="AS19" i="26"/>
  <c r="AT19" i="26"/>
  <c r="AU19" i="26"/>
  <c r="AW19" i="26"/>
  <c r="AX19" i="26"/>
  <c r="AY19" i="26"/>
  <c r="AZ19" i="26"/>
  <c r="DS19" i="26"/>
  <c r="CZ19" i="26"/>
  <c r="CY19" i="26"/>
  <c r="CR19" i="26"/>
  <c r="CN19" i="26"/>
  <c r="CM19" i="26"/>
  <c r="CG19" i="26"/>
  <c r="CF19" i="26"/>
  <c r="CE19" i="26"/>
  <c r="CD19" i="26"/>
  <c r="BZ19" i="26"/>
  <c r="BV19" i="26"/>
  <c r="O19" i="26"/>
  <c r="I19" i="26"/>
  <c r="K19" i="26"/>
  <c r="EJ18" i="26"/>
  <c r="AQ18" i="26"/>
  <c r="AR18" i="26"/>
  <c r="AS18" i="26"/>
  <c r="AT18" i="26"/>
  <c r="AU18" i="26"/>
  <c r="AW18" i="26"/>
  <c r="AX18" i="26"/>
  <c r="AY18" i="26"/>
  <c r="AZ18" i="26"/>
  <c r="DS18" i="26"/>
  <c r="CZ18" i="26"/>
  <c r="CY18" i="26"/>
  <c r="CR18" i="26"/>
  <c r="CN18" i="26"/>
  <c r="CM18" i="26"/>
  <c r="CG18" i="26"/>
  <c r="CF18" i="26"/>
  <c r="CE18" i="26"/>
  <c r="CD18" i="26"/>
  <c r="BZ18" i="26"/>
  <c r="BV18" i="26"/>
  <c r="O18" i="26"/>
  <c r="I18" i="26"/>
  <c r="K18" i="26"/>
  <c r="EJ17" i="26"/>
  <c r="AQ17" i="26"/>
  <c r="AR17" i="26"/>
  <c r="AS17" i="26"/>
  <c r="AT17" i="26"/>
  <c r="AU17" i="26"/>
  <c r="AW17" i="26"/>
  <c r="AX17" i="26"/>
  <c r="AY17" i="26"/>
  <c r="AZ17" i="26"/>
  <c r="DS17" i="26"/>
  <c r="CZ17" i="26"/>
  <c r="CY17" i="26"/>
  <c r="CR17" i="26"/>
  <c r="CN17" i="26"/>
  <c r="CM17" i="26"/>
  <c r="CG17" i="26"/>
  <c r="CF17" i="26"/>
  <c r="CE17" i="26"/>
  <c r="CD17" i="26"/>
  <c r="BZ17" i="26"/>
  <c r="BV17" i="26"/>
  <c r="O17" i="26"/>
  <c r="I17" i="26"/>
  <c r="K17" i="26"/>
  <c r="EJ16" i="26"/>
  <c r="AQ16" i="26"/>
  <c r="AR16" i="26"/>
  <c r="AS16" i="26"/>
  <c r="AT16" i="26"/>
  <c r="AU16" i="26"/>
  <c r="AW16" i="26"/>
  <c r="AX16" i="26"/>
  <c r="AY16" i="26"/>
  <c r="AZ16" i="26"/>
  <c r="DS16" i="26"/>
  <c r="CZ16" i="26"/>
  <c r="CY16" i="26"/>
  <c r="CR16" i="26"/>
  <c r="CN16" i="26"/>
  <c r="CM16" i="26"/>
  <c r="CG16" i="26"/>
  <c r="CF16" i="26"/>
  <c r="CE16" i="26"/>
  <c r="CD16" i="26"/>
  <c r="BZ16" i="26"/>
  <c r="BV16" i="26"/>
  <c r="P16" i="26"/>
  <c r="O16" i="26"/>
  <c r="I16" i="26"/>
  <c r="K16" i="26"/>
  <c r="EJ15" i="26"/>
  <c r="CR15" i="26"/>
  <c r="DX15" i="26"/>
  <c r="CM15" i="26"/>
  <c r="CN15" i="26"/>
  <c r="DW15" i="26"/>
  <c r="CD15" i="26"/>
  <c r="CG15" i="26"/>
  <c r="DV15" i="26"/>
  <c r="BV15" i="26"/>
  <c r="DU15" i="26"/>
  <c r="DT15" i="26"/>
  <c r="AQ15" i="26"/>
  <c r="AR15" i="26"/>
  <c r="AS15" i="26"/>
  <c r="AT15" i="26"/>
  <c r="AU15" i="26"/>
  <c r="AW15" i="26"/>
  <c r="AX15" i="26"/>
  <c r="AY15" i="26"/>
  <c r="AZ15" i="26"/>
  <c r="DS15" i="26"/>
  <c r="DR15" i="26"/>
  <c r="CZ15" i="26"/>
  <c r="CY15" i="26"/>
  <c r="CF15" i="26"/>
  <c r="CE15" i="26"/>
  <c r="BZ15" i="26"/>
  <c r="P15" i="26"/>
  <c r="O15" i="26"/>
  <c r="I15" i="26"/>
  <c r="K15" i="26"/>
  <c r="EJ14" i="26"/>
  <c r="AQ14" i="26"/>
  <c r="AR14" i="26"/>
  <c r="AS14" i="26"/>
  <c r="AT14" i="26"/>
  <c r="AU14" i="26"/>
  <c r="AW14" i="26"/>
  <c r="AX14" i="26"/>
  <c r="AY14" i="26"/>
  <c r="AZ14" i="26"/>
  <c r="DS14" i="26"/>
  <c r="CZ14" i="26"/>
  <c r="CY14" i="26"/>
  <c r="CR14" i="26"/>
  <c r="CN14" i="26"/>
  <c r="CM14" i="26"/>
  <c r="CG14" i="26"/>
  <c r="CF14" i="26"/>
  <c r="CE14" i="26"/>
  <c r="CD14" i="26"/>
  <c r="BZ14" i="26"/>
  <c r="BV14" i="26"/>
  <c r="O14" i="26"/>
  <c r="I14" i="26"/>
  <c r="K14" i="26"/>
  <c r="EJ13" i="26"/>
  <c r="AQ13" i="26"/>
  <c r="AR13" i="26"/>
  <c r="AS13" i="26"/>
  <c r="AT13" i="26"/>
  <c r="AU13" i="26"/>
  <c r="AW13" i="26"/>
  <c r="AX13" i="26"/>
  <c r="AY13" i="26"/>
  <c r="AZ13" i="26"/>
  <c r="DS13" i="26"/>
  <c r="CZ13" i="26"/>
  <c r="CY13" i="26"/>
  <c r="CR13" i="26"/>
  <c r="CN13" i="26"/>
  <c r="CM13" i="26"/>
  <c r="CG13" i="26"/>
  <c r="CF13" i="26"/>
  <c r="CE13" i="26"/>
  <c r="CD13" i="26"/>
  <c r="BZ13" i="26"/>
  <c r="BV13" i="26"/>
  <c r="O13" i="26"/>
  <c r="I13" i="26"/>
  <c r="K13" i="26"/>
  <c r="EJ12" i="26"/>
  <c r="CR12" i="26"/>
  <c r="DX12" i="26"/>
  <c r="CM12" i="26"/>
  <c r="CN12" i="26"/>
  <c r="DW12" i="26"/>
  <c r="CD12" i="26"/>
  <c r="CG12" i="26"/>
  <c r="DV12" i="26"/>
  <c r="BV12" i="26"/>
  <c r="DU12" i="26"/>
  <c r="DT12" i="26"/>
  <c r="AQ12" i="26"/>
  <c r="AR12" i="26"/>
  <c r="AS12" i="26"/>
  <c r="AT12" i="26"/>
  <c r="AU12" i="26"/>
  <c r="AW12" i="26"/>
  <c r="AX12" i="26"/>
  <c r="AY12" i="26"/>
  <c r="AZ12" i="26"/>
  <c r="DS12" i="26"/>
  <c r="DR12" i="26"/>
  <c r="CZ12" i="26"/>
  <c r="CY12" i="26"/>
  <c r="CF12" i="26"/>
  <c r="CE12" i="26"/>
  <c r="BZ12" i="26"/>
  <c r="P12" i="26"/>
  <c r="O12" i="26"/>
  <c r="I12" i="26"/>
  <c r="K12" i="26"/>
  <c r="EJ11" i="26"/>
  <c r="AQ11" i="26"/>
  <c r="AR11" i="26"/>
  <c r="AS11" i="26"/>
  <c r="AT11" i="26"/>
  <c r="AU11" i="26"/>
  <c r="AW11" i="26"/>
  <c r="AX11" i="26"/>
  <c r="AY11" i="26"/>
  <c r="AZ11" i="26"/>
  <c r="DS11" i="26"/>
  <c r="CZ11" i="26"/>
  <c r="CY11" i="26"/>
  <c r="CR11" i="26"/>
  <c r="CN11" i="26"/>
  <c r="CM11" i="26"/>
  <c r="CG11" i="26"/>
  <c r="CF11" i="26"/>
  <c r="CE11" i="26"/>
  <c r="CD11" i="26"/>
  <c r="BZ11" i="26"/>
  <c r="BV11" i="26"/>
  <c r="O11" i="26"/>
  <c r="I11" i="26"/>
  <c r="K11" i="26"/>
  <c r="EJ10" i="26"/>
  <c r="AQ10" i="26"/>
  <c r="AR10" i="26"/>
  <c r="AS10" i="26"/>
  <c r="AT10" i="26"/>
  <c r="AU10" i="26"/>
  <c r="AW10" i="26"/>
  <c r="AX10" i="26"/>
  <c r="AY10" i="26"/>
  <c r="AZ10" i="26"/>
  <c r="DS10" i="26"/>
  <c r="CZ10" i="26"/>
  <c r="CY10" i="26"/>
  <c r="CR10" i="26"/>
  <c r="CN10" i="26"/>
  <c r="CM10" i="26"/>
  <c r="CG10" i="26"/>
  <c r="CF10" i="26"/>
  <c r="CE10" i="26"/>
  <c r="CD10" i="26"/>
  <c r="BZ10" i="26"/>
  <c r="BV10" i="26"/>
  <c r="O10" i="26"/>
  <c r="I10" i="26"/>
  <c r="K10" i="26"/>
  <c r="EJ9" i="26"/>
  <c r="AQ9" i="26"/>
  <c r="AR9" i="26"/>
  <c r="AS9" i="26"/>
  <c r="AT9" i="26"/>
  <c r="AU9" i="26"/>
  <c r="AW9" i="26"/>
  <c r="AX9" i="26"/>
  <c r="AY9" i="26"/>
  <c r="AZ9" i="26"/>
  <c r="DS9" i="26"/>
  <c r="CZ9" i="26"/>
  <c r="CY9" i="26"/>
  <c r="CR9" i="26"/>
  <c r="CN9" i="26"/>
  <c r="CM9" i="26"/>
  <c r="CG9" i="26"/>
  <c r="CF9" i="26"/>
  <c r="CE9" i="26"/>
  <c r="CD9" i="26"/>
  <c r="BZ9" i="26"/>
  <c r="BV9" i="26"/>
  <c r="P9" i="26"/>
  <c r="O9" i="26"/>
  <c r="I9" i="26"/>
  <c r="K9" i="26"/>
  <c r="EJ8" i="26"/>
  <c r="CR8" i="26"/>
  <c r="DX8" i="26"/>
  <c r="CM8" i="26"/>
  <c r="CN8" i="26"/>
  <c r="DW8" i="26"/>
  <c r="BV8" i="26"/>
  <c r="DU8" i="26"/>
  <c r="DT8" i="26"/>
  <c r="AQ8" i="26"/>
  <c r="AR8" i="26"/>
  <c r="AS8" i="26"/>
  <c r="AT8" i="26"/>
  <c r="AU8" i="26"/>
  <c r="AW8" i="26"/>
  <c r="AX8" i="26"/>
  <c r="AY8" i="26"/>
  <c r="AZ8" i="26"/>
  <c r="DS8" i="26"/>
  <c r="CZ8" i="26"/>
  <c r="CY8" i="26"/>
  <c r="CG8" i="26"/>
  <c r="CF8" i="26"/>
  <c r="CE8" i="26"/>
  <c r="CD8" i="26"/>
  <c r="BZ8" i="26"/>
  <c r="P8" i="26"/>
  <c r="O8" i="26"/>
  <c r="I8" i="26"/>
  <c r="K8" i="26"/>
  <c r="EJ7" i="26"/>
  <c r="CR7" i="26"/>
  <c r="DX7" i="26"/>
  <c r="CM7" i="26"/>
  <c r="CN7" i="26"/>
  <c r="DW7" i="26"/>
  <c r="CD7" i="26"/>
  <c r="CG7" i="26"/>
  <c r="DV7" i="26"/>
  <c r="BV7" i="26"/>
  <c r="DU7" i="26"/>
  <c r="DT7" i="26"/>
  <c r="AQ7" i="26"/>
  <c r="AR7" i="26"/>
  <c r="AS7" i="26"/>
  <c r="AT7" i="26"/>
  <c r="AU7" i="26"/>
  <c r="AW7" i="26"/>
  <c r="AX7" i="26"/>
  <c r="AY7" i="26"/>
  <c r="AZ7" i="26"/>
  <c r="DS7" i="26"/>
  <c r="DR7" i="26"/>
  <c r="CZ7" i="26"/>
  <c r="CY7" i="26"/>
  <c r="CF7" i="26"/>
  <c r="CE7" i="26"/>
  <c r="BZ7" i="26"/>
  <c r="I7" i="26"/>
  <c r="K7" i="26"/>
  <c r="EJ6" i="26"/>
  <c r="CR6" i="26"/>
  <c r="DX6" i="26"/>
  <c r="CM6" i="26"/>
  <c r="CN6" i="26"/>
  <c r="DW6" i="26"/>
  <c r="CD6" i="26"/>
  <c r="CG6" i="26"/>
  <c r="DV6" i="26"/>
  <c r="BV6" i="26"/>
  <c r="DU6" i="26"/>
  <c r="DT6" i="26"/>
  <c r="AQ6" i="26"/>
  <c r="AR6" i="26"/>
  <c r="AS6" i="26"/>
  <c r="AT6" i="26"/>
  <c r="AU6" i="26"/>
  <c r="AW6" i="26"/>
  <c r="AX6" i="26"/>
  <c r="AY6" i="26"/>
  <c r="AZ6" i="26"/>
  <c r="DS6" i="26"/>
  <c r="DR6" i="26"/>
  <c r="CZ6" i="26"/>
  <c r="CY6" i="26"/>
  <c r="CF6" i="26"/>
  <c r="CE6" i="26"/>
  <c r="BZ6" i="26"/>
  <c r="O6" i="26"/>
  <c r="I6" i="26"/>
  <c r="K6" i="26"/>
  <c r="FO2" i="26"/>
  <c r="FN2" i="26"/>
  <c r="FL2" i="26"/>
  <c r="FK2" i="26"/>
  <c r="FJ2" i="26"/>
  <c r="FI2" i="26"/>
  <c r="FH2" i="26"/>
  <c r="FG2" i="26"/>
  <c r="FF2" i="26"/>
  <c r="FE2" i="26"/>
  <c r="FD2" i="26"/>
  <c r="FC2" i="26"/>
  <c r="FB2" i="26"/>
  <c r="FA2" i="26"/>
  <c r="EZ2" i="26"/>
  <c r="EY2" i="26"/>
  <c r="EX2" i="26"/>
  <c r="EW2" i="26"/>
  <c r="EV2" i="26"/>
  <c r="EU2" i="26"/>
  <c r="ET2" i="26"/>
  <c r="ES2" i="26"/>
  <c r="ER2" i="26"/>
  <c r="EQ2" i="26"/>
  <c r="EP2" i="26"/>
  <c r="EO2" i="26"/>
  <c r="EN2" i="26"/>
  <c r="EM2" i="26"/>
  <c r="EL2" i="26"/>
  <c r="EK2" i="26"/>
  <c r="EJ2" i="26"/>
  <c r="EI2" i="26"/>
  <c r="EH2" i="26"/>
  <c r="EG2" i="26"/>
  <c r="EF2" i="26"/>
  <c r="EE2" i="26"/>
  <c r="ED2" i="26"/>
  <c r="EC2" i="26"/>
  <c r="EB2" i="26"/>
  <c r="EA2" i="26"/>
  <c r="DZ2" i="26"/>
  <c r="DY2" i="26"/>
  <c r="DX2" i="26"/>
  <c r="DW2" i="26"/>
  <c r="DV2" i="26"/>
  <c r="DU2" i="26"/>
  <c r="DT2" i="26"/>
  <c r="DS2" i="26"/>
  <c r="DR2" i="26"/>
  <c r="DQ2" i="26"/>
  <c r="DP2" i="26"/>
  <c r="DO2" i="26"/>
  <c r="DN2" i="26"/>
  <c r="DM2" i="26"/>
  <c r="DL2" i="26"/>
  <c r="DK2" i="26"/>
  <c r="DJ2" i="26"/>
  <c r="DI2" i="26"/>
  <c r="DH2" i="26"/>
  <c r="DG2" i="26"/>
  <c r="DF2" i="26"/>
  <c r="DE2" i="26"/>
  <c r="DD2" i="26"/>
  <c r="DC2" i="26"/>
  <c r="DB2" i="26"/>
  <c r="DA2" i="26"/>
  <c r="CZ2" i="26"/>
  <c r="CY2" i="26"/>
  <c r="CX2" i="26"/>
  <c r="CW2" i="26"/>
  <c r="CV2" i="26"/>
  <c r="CU2" i="26"/>
  <c r="CT2" i="26"/>
  <c r="CS2" i="26"/>
  <c r="CR2" i="26"/>
  <c r="CQ2" i="26"/>
  <c r="CP2" i="26"/>
  <c r="CO2" i="26"/>
  <c r="CN2" i="26"/>
  <c r="CM2" i="26"/>
  <c r="CL2" i="26"/>
  <c r="CK2" i="26"/>
  <c r="CJ2" i="26"/>
  <c r="CI2" i="26"/>
  <c r="CH2" i="26"/>
  <c r="CG2" i="26"/>
  <c r="CF2" i="26"/>
  <c r="CE2" i="26"/>
  <c r="CD2" i="26"/>
  <c r="CC2" i="26"/>
  <c r="CB2" i="26"/>
  <c r="CA2" i="26"/>
  <c r="BZ2" i="26"/>
  <c r="BY2" i="26"/>
  <c r="BX2" i="26"/>
  <c r="BW2" i="26"/>
  <c r="BV2" i="26"/>
  <c r="BU2" i="26"/>
  <c r="BT2" i="26"/>
  <c r="BS2" i="26"/>
  <c r="BR2" i="26"/>
  <c r="BQ2" i="26"/>
  <c r="BP2" i="26"/>
  <c r="BO2" i="26"/>
  <c r="BN2" i="26"/>
  <c r="BM2" i="26"/>
  <c r="BL2" i="26"/>
  <c r="BK2" i="26"/>
  <c r="BJ2" i="26"/>
  <c r="BI2" i="26"/>
  <c r="BH2" i="26"/>
  <c r="BG2" i="26"/>
  <c r="BF2" i="26"/>
  <c r="BE2" i="26"/>
  <c r="BD2" i="26"/>
  <c r="BC2" i="26"/>
  <c r="BB2" i="26"/>
  <c r="BA2" i="26"/>
  <c r="AZ2" i="26"/>
  <c r="AY2" i="26"/>
  <c r="AX2" i="26"/>
  <c r="AW2" i="26"/>
  <c r="AV2" i="26"/>
  <c r="AU2" i="26"/>
  <c r="AT2" i="26"/>
  <c r="AS2" i="26"/>
  <c r="AR2" i="26"/>
  <c r="AQ2" i="26"/>
  <c r="AP2" i="26"/>
  <c r="AO2" i="26"/>
  <c r="AN2" i="26"/>
  <c r="AM2" i="26"/>
  <c r="AL2" i="26"/>
  <c r="AK2" i="26"/>
  <c r="AJ2" i="26"/>
  <c r="AI2" i="26"/>
  <c r="AH2" i="26"/>
  <c r="AG2" i="26"/>
  <c r="AF2" i="26"/>
  <c r="AE2" i="26"/>
  <c r="AD2" i="26"/>
  <c r="AC2" i="26"/>
  <c r="AB2" i="26"/>
  <c r="AA2" i="26"/>
  <c r="Z2" i="26"/>
  <c r="Y2" i="26"/>
  <c r="X2" i="26"/>
  <c r="W2" i="26"/>
  <c r="V2" i="26"/>
  <c r="S2" i="26"/>
  <c r="R2" i="26"/>
  <c r="Q2" i="26"/>
  <c r="N2" i="26"/>
  <c r="M2" i="26"/>
  <c r="L2" i="26"/>
  <c r="K2" i="26"/>
  <c r="J2" i="26"/>
  <c r="I2" i="26"/>
  <c r="H2" i="26"/>
  <c r="G2" i="26"/>
  <c r="F2" i="26"/>
  <c r="AQ209" i="26"/>
  <c r="AQ210" i="26"/>
  <c r="AR209" i="26"/>
  <c r="AR210" i="26"/>
  <c r="AS209" i="26"/>
  <c r="AS210" i="26"/>
  <c r="AT209" i="26"/>
  <c r="AT210" i="26"/>
  <c r="AU209" i="26"/>
  <c r="AU210" i="26"/>
  <c r="AW209" i="26"/>
  <c r="AW210" i="26"/>
  <c r="AX209" i="26"/>
  <c r="AX210" i="26"/>
  <c r="AY209" i="26"/>
  <c r="AY210" i="26"/>
  <c r="AZ209" i="26"/>
  <c r="AZ210" i="26"/>
  <c r="BV209" i="26"/>
  <c r="BV210" i="26"/>
  <c r="BZ209" i="26"/>
  <c r="BZ210" i="26"/>
  <c r="CD209" i="26"/>
  <c r="CD210" i="26"/>
  <c r="CE209" i="26"/>
  <c r="CE210" i="26"/>
  <c r="CF209" i="26"/>
  <c r="CF210" i="26"/>
  <c r="CG209" i="26"/>
  <c r="CG210" i="26"/>
  <c r="CM209" i="26"/>
  <c r="CM210" i="26"/>
  <c r="CN209" i="26"/>
  <c r="CN210" i="26"/>
  <c r="CR209" i="26"/>
  <c r="CR210" i="26"/>
  <c r="CY209" i="26"/>
  <c r="CY210" i="26"/>
  <c r="CZ209" i="26"/>
  <c r="CZ210" i="26"/>
  <c r="L243" i="26"/>
  <c r="L244" i="26"/>
  <c r="L245" i="26"/>
  <c r="L246" i="26"/>
  <c r="L247" i="26"/>
  <c r="L249" i="26"/>
  <c r="L250" i="26"/>
  <c r="L251" i="26"/>
  <c r="L252" i="26"/>
  <c r="L267" i="26"/>
  <c r="L271" i="26"/>
  <c r="L275" i="26"/>
  <c r="L276" i="26"/>
  <c r="L277" i="26"/>
  <c r="L278" i="26"/>
  <c r="L284" i="26"/>
  <c r="L285" i="26"/>
  <c r="L289" i="26"/>
  <c r="L296" i="26"/>
  <c r="L297" i="26"/>
</calcChain>
</file>

<file path=xl/comments1.xml><?xml version="1.0" encoding="utf-8"?>
<comments xmlns="http://schemas.openxmlformats.org/spreadsheetml/2006/main">
  <authors>
    <author>Blaise Bodin</author>
    <author>billy.tsekos</author>
    <author>Billy Tsekos</author>
    <author>Microsoft Office User</author>
    <author/>
    <author>Thiago Mattos</author>
    <author>Daniel</author>
    <author>Tv Globo</author>
  </authors>
  <commentList>
    <comment ref="Z5" authorId="0">
      <text>
        <r>
          <rPr>
            <b/>
            <sz val="9"/>
            <color indexed="81"/>
            <rFont val="Tahoma"/>
            <family val="2"/>
          </rPr>
          <t>Requires a quantitative measure, expressed in ha or sq km. Add "s" if there is spatially explicit info (a map)
there can be only a map without stats, then put a 0 with a "s"
Regional statistics count as spatially explicit information</t>
        </r>
      </text>
    </comment>
    <comment ref="AH5" authorId="0">
      <text>
        <r>
          <rPr>
            <b/>
            <sz val="9"/>
            <color indexed="81"/>
            <rFont val="Tahoma"/>
            <family val="2"/>
          </rPr>
          <t>Quantitative metric of loss, can be in area or in %, over a certain period
"s" if there is spatially explicit information about the location of the loss (regional stats or map)</t>
        </r>
      </text>
    </comment>
    <comment ref="AO5" authorId="0">
      <text>
        <r>
          <rPr>
            <b/>
            <sz val="9"/>
            <color indexed="81"/>
            <rFont val="Tahoma"/>
            <family val="2"/>
          </rPr>
          <t xml:space="preserve">is degradation discussed in the context of these ecoystems 
Requires a metric of area degraded
</t>
        </r>
      </text>
    </comment>
    <comment ref="AV5" authorId="0">
      <text>
        <r>
          <rPr>
            <b/>
            <sz val="9"/>
            <color indexed="81"/>
            <rFont val="Tahoma"/>
            <family val="2"/>
          </rPr>
          <t>is there a quantitative measure of the degree of degradation?</t>
        </r>
      </text>
    </comment>
    <comment ref="BA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BC5" authorId="0">
      <text>
        <r>
          <rPr>
            <b/>
            <sz val="9"/>
            <color indexed="81"/>
            <rFont val="Tahoma"/>
            <family val="2"/>
          </rPr>
          <t xml:space="preserve">Target rate of abatement - AT 5 calls for -50% reduction in the rate of loss, -100% where possible.
</t>
        </r>
      </text>
    </comment>
    <comment ref="BD5" authorId="0">
      <text>
        <r>
          <rPr>
            <b/>
            <sz val="9"/>
            <color indexed="81"/>
            <rFont val="Tahoma"/>
            <family val="2"/>
          </rPr>
          <t>The Aichi Targets are to be met by 2020 but some countries will set earlier/later targets</t>
        </r>
      </text>
    </comment>
    <comment ref="BE5" authorId="0">
      <text>
        <r>
          <rPr>
            <b/>
            <sz val="9"/>
            <color indexed="81"/>
            <rFont val="Tahoma"/>
            <family val="2"/>
          </rPr>
          <t>This is the period over which the rate of ecosystem loss, degradation or fragmentation is assessed, to then set the target rate of abatement. 
(e.g deforestation 100ha/year on average for the period 2005-2010, to be reduced to 50ha year in 2020, meaning a 50% reduction of the rate of loss)</t>
        </r>
      </text>
    </comment>
    <comment ref="BF5" authorId="1">
      <text>
        <r>
          <rPr>
            <b/>
            <sz val="9"/>
            <color indexed="81"/>
            <rFont val="Tahoma"/>
            <family val="2"/>
          </rPr>
          <t>billy.tsekos:</t>
        </r>
        <r>
          <rPr>
            <sz val="9"/>
            <color indexed="81"/>
            <rFont val="Tahoma"/>
            <family val="2"/>
          </rPr>
          <t xml:space="preserve">
</t>
        </r>
      </text>
    </comment>
    <comment ref="BI5"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BT5" authorId="0">
      <text>
        <r>
          <rPr>
            <sz val="9"/>
            <color indexed="81"/>
            <rFont val="Tahoma"/>
            <family val="2"/>
          </rPr>
          <t xml:space="preserve">Require a target area to be restored (in ha) or a percentage of degraded area ("s" if information on the location of area to be restored)
</t>
        </r>
      </text>
    </comment>
    <comment ref="CK5" authorId="0">
      <text>
        <r>
          <rPr>
            <b/>
            <sz val="9"/>
            <color indexed="81"/>
            <rFont val="Tahoma"/>
            <family val="2"/>
          </rPr>
          <t>Requires a quantitative metric, e.g. TCO2e (stocks) or TCO2/ha (density)</t>
        </r>
      </text>
    </comment>
    <comment ref="ER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ET5"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EV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BA6" authorId="0">
      <text>
        <r>
          <rPr>
            <sz val="9"/>
            <color indexed="8"/>
            <rFont val="Tahoma"/>
            <family val="2"/>
          </rPr>
          <t>Afghanistan preliminary target 5: rate of loss and degradation of natural habitats decreased</t>
        </r>
      </text>
    </comment>
    <comment ref="G7" authorId="2">
      <text>
        <r>
          <rPr>
            <b/>
            <sz val="9"/>
            <color indexed="81"/>
            <rFont val="Tahoma"/>
            <family val="2"/>
          </rPr>
          <t>Billy Tsekos:</t>
        </r>
        <r>
          <rPr>
            <sz val="9"/>
            <color indexed="81"/>
            <rFont val="Tahoma"/>
            <family val="2"/>
          </rPr>
          <t xml:space="preserve">
2016</t>
        </r>
      </text>
    </comment>
    <comment ref="Z7" authorId="2">
      <text>
        <r>
          <rPr>
            <b/>
            <sz val="9"/>
            <color indexed="81"/>
            <rFont val="Tahoma"/>
            <family val="2"/>
          </rPr>
          <t>Billy Tsekos:</t>
        </r>
        <r>
          <rPr>
            <sz val="9"/>
            <color indexed="81"/>
            <rFont val="Tahoma"/>
            <family val="2"/>
          </rPr>
          <t xml:space="preserve">
</t>
        </r>
        <r>
          <rPr>
            <b/>
            <sz val="9"/>
            <color indexed="81"/>
            <rFont val="Tahoma"/>
            <family val="2"/>
          </rPr>
          <t>NBSAP-P.15:</t>
        </r>
        <r>
          <rPr>
            <sz val="9"/>
            <color indexed="81"/>
            <rFont val="Tahoma"/>
            <family val="2"/>
          </rPr>
          <t xml:space="preserve"> Forests account for approximately 1.041,000ha or 33 % of the country’s territory, while pastures account for approximately 400,000 ha or 15 % of the country’s territory
</t>
        </r>
        <r>
          <rPr>
            <b/>
            <sz val="9"/>
            <color indexed="81"/>
            <rFont val="Tahoma"/>
            <family val="2"/>
          </rPr>
          <t xml:space="preserve">NBSAP-P.17: </t>
        </r>
        <r>
          <rPr>
            <sz val="9"/>
            <color indexed="81"/>
            <rFont val="Tahoma"/>
            <family val="2"/>
          </rPr>
          <t xml:space="preserve">Table 2. Distribution of forestry fund, according to method of administration (2012)
</t>
        </r>
        <r>
          <rPr>
            <b/>
            <sz val="9"/>
            <color indexed="81"/>
            <rFont val="Tahoma"/>
            <family val="2"/>
          </rPr>
          <t xml:space="preserve">NR-P.37: </t>
        </r>
        <r>
          <rPr>
            <sz val="9"/>
            <color indexed="81"/>
            <rFont val="Tahoma"/>
            <family val="2"/>
          </rPr>
          <t xml:space="preserve">the total area of specially protected areas as wetlands of international importance, especially as waterfowl habitat (in the framework of the Ramsar Convention), reached 98,180.6 ha or 3,42% of the total area of the country. Actually Protected Areas coverage actually stand at 455 584 ha or 15, 58% of the territory
</t>
        </r>
        <r>
          <rPr>
            <b/>
            <sz val="9"/>
            <color indexed="81"/>
            <rFont val="Tahoma"/>
            <family val="2"/>
          </rPr>
          <t>NR-P.48:</t>
        </r>
        <r>
          <rPr>
            <sz val="9"/>
            <color indexed="81"/>
            <rFont val="Tahoma"/>
            <family val="2"/>
          </rPr>
          <t xml:space="preserve"> Map of Ramsar sites in Albania</t>
        </r>
      </text>
    </comment>
    <comment ref="AH7" authorId="2">
      <text>
        <r>
          <rPr>
            <b/>
            <sz val="9"/>
            <color indexed="81"/>
            <rFont val="Tahoma"/>
            <family val="2"/>
          </rPr>
          <t>Billy Tsekos:</t>
        </r>
        <r>
          <rPr>
            <sz val="9"/>
            <color indexed="81"/>
            <rFont val="Tahoma"/>
            <family val="2"/>
          </rPr>
          <t xml:space="preserve">
</t>
        </r>
        <r>
          <rPr>
            <b/>
            <sz val="9"/>
            <color indexed="81"/>
            <rFont val="Tahoma"/>
            <family val="2"/>
          </rPr>
          <t xml:space="preserve">NBSAP-P.77: </t>
        </r>
        <r>
          <rPr>
            <sz val="9"/>
            <color indexed="81"/>
            <rFont val="Tahoma"/>
            <family val="2"/>
          </rPr>
          <t>UNDP 2010, more than one third of the Adriatic coast in Albania is being  eroded – at a rate of 1. 59 metres/annually – expedited to the removal of gravel and sand for the purposes of construction industry, uncontrolled development along the coast, deforestation of large coastal areas (even within protected areas) and development of agricultur</t>
        </r>
      </text>
    </comment>
    <comment ref="AO7" authorId="2">
      <text>
        <r>
          <rPr>
            <b/>
            <sz val="9"/>
            <color indexed="81"/>
            <rFont val="Tahoma"/>
            <family val="2"/>
          </rPr>
          <t>Billy Tsekos:</t>
        </r>
        <r>
          <rPr>
            <sz val="9"/>
            <color indexed="81"/>
            <rFont val="Tahoma"/>
            <family val="2"/>
          </rPr>
          <t xml:space="preserve">
</t>
        </r>
        <r>
          <rPr>
            <b/>
            <sz val="9"/>
            <color indexed="81"/>
            <rFont val="Tahoma"/>
            <family val="2"/>
          </rPr>
          <t xml:space="preserve">NBSAP-P.48: </t>
        </r>
        <r>
          <rPr>
            <sz val="9"/>
            <color indexed="81"/>
            <rFont val="Tahoma"/>
            <family val="2"/>
          </rPr>
          <t>Forests represent a sector with a very important impact on biodiversity. Loss and fragmentation of habitats, due to illegal hunting/ and/or overuse represent the main adverse element in this aspect. According to estimates, more than 80,000 ha of forestry area have been deforestated during the last two decades</t>
        </r>
      </text>
    </comment>
    <comment ref="BA7" authorId="2">
      <text>
        <r>
          <rPr>
            <b/>
            <sz val="9"/>
            <color indexed="81"/>
            <rFont val="Tahoma"/>
            <family val="2"/>
          </rPr>
          <t>Billy Tsekos:</t>
        </r>
        <r>
          <rPr>
            <sz val="9"/>
            <color indexed="81"/>
            <rFont val="Tahoma"/>
            <family val="2"/>
          </rPr>
          <t xml:space="preserve">
</t>
        </r>
        <r>
          <rPr>
            <b/>
            <sz val="9"/>
            <color indexed="81"/>
            <rFont val="Tahoma"/>
            <family val="2"/>
          </rPr>
          <t>NBSAP- P.78:</t>
        </r>
        <r>
          <rPr>
            <sz val="9"/>
            <color indexed="81"/>
            <rFont val="Tahoma"/>
            <family val="2"/>
          </rPr>
          <t xml:space="preserve">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t>
        </r>
        <r>
          <rPr>
            <b/>
            <sz val="9"/>
            <color indexed="81"/>
            <rFont val="Tahoma"/>
            <family val="2"/>
          </rPr>
          <t xml:space="preserve">
</t>
        </r>
        <r>
          <rPr>
            <sz val="9"/>
            <color indexed="81"/>
            <rFont val="Tahoma"/>
            <family val="2"/>
          </rPr>
          <t xml:space="preserve">
</t>
        </r>
      </text>
    </comment>
    <comment ref="BD7" authorId="2">
      <text>
        <r>
          <rPr>
            <b/>
            <sz val="9"/>
            <color indexed="81"/>
            <rFont val="Tahoma"/>
            <family val="2"/>
          </rPr>
          <t>Billy Tsekos:</t>
        </r>
        <r>
          <rPr>
            <sz val="9"/>
            <color indexed="81"/>
            <rFont val="Tahoma"/>
            <family val="2"/>
          </rPr>
          <t xml:space="preserve">
2020</t>
        </r>
      </text>
    </comment>
    <comment ref="BE7" authorId="2">
      <text>
        <r>
          <rPr>
            <b/>
            <sz val="9"/>
            <color indexed="81"/>
            <rFont val="Tahoma"/>
            <family val="2"/>
          </rPr>
          <t>Billy Tsekos:</t>
        </r>
        <r>
          <rPr>
            <sz val="9"/>
            <color indexed="81"/>
            <rFont val="Tahoma"/>
            <family val="2"/>
          </rPr>
          <t xml:space="preserve">
2010</t>
        </r>
      </text>
    </comment>
    <comment ref="BI7" authorId="2">
      <text>
        <r>
          <rPr>
            <b/>
            <sz val="9"/>
            <color indexed="81"/>
            <rFont val="Tahoma"/>
            <family val="2"/>
          </rPr>
          <t>Billy Tsekos:</t>
        </r>
        <r>
          <rPr>
            <sz val="9"/>
            <color indexed="81"/>
            <rFont val="Tahoma"/>
            <family val="2"/>
          </rPr>
          <t xml:space="preserve">
</t>
        </r>
        <r>
          <rPr>
            <b/>
            <sz val="9"/>
            <color indexed="81"/>
            <rFont val="Tahoma"/>
            <family val="2"/>
          </rPr>
          <t xml:space="preserve">NR-P.133: </t>
        </r>
        <r>
          <rPr>
            <sz val="9"/>
            <color indexed="81"/>
            <rFont val="Tahoma"/>
            <family val="2"/>
          </rPr>
          <t>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r>
      </text>
    </comment>
    <comment ref="BP7" authorId="2">
      <text>
        <r>
          <rPr>
            <b/>
            <sz val="9"/>
            <color indexed="81"/>
            <rFont val="Tahoma"/>
            <family val="2"/>
          </rPr>
          <t>Billy Tsekos:</t>
        </r>
        <r>
          <rPr>
            <sz val="9"/>
            <color indexed="81"/>
            <rFont val="Tahoma"/>
            <family val="2"/>
          </rPr>
          <t xml:space="preserve">
</t>
        </r>
        <r>
          <rPr>
            <b/>
            <sz val="9"/>
            <color indexed="81"/>
            <rFont val="Tahoma"/>
            <family val="2"/>
          </rPr>
          <t>NBSAP- P.118:</t>
        </r>
        <r>
          <rPr>
            <sz val="9"/>
            <color indexed="81"/>
            <rFont val="Tahoma"/>
            <family val="2"/>
          </rPr>
          <t xml:space="preserve"> Promoting natural regeneration and regeneration with autochthonous species of forest trees</t>
        </r>
      </text>
    </comment>
    <comment ref="BT7" authorId="2">
      <text>
        <r>
          <rPr>
            <b/>
            <sz val="9"/>
            <color indexed="81"/>
            <rFont val="Tahoma"/>
            <family val="2"/>
          </rPr>
          <t>Billy Tsekos:</t>
        </r>
        <r>
          <rPr>
            <sz val="9"/>
            <color indexed="81"/>
            <rFont val="Tahoma"/>
            <family val="2"/>
          </rPr>
          <t xml:space="preserve">
</t>
        </r>
        <r>
          <rPr>
            <b/>
            <sz val="9"/>
            <color indexed="81"/>
            <rFont val="Tahoma"/>
            <family val="2"/>
          </rPr>
          <t>NBSAP-P.111:</t>
        </r>
        <r>
          <rPr>
            <sz val="9"/>
            <color indexed="81"/>
            <rFont val="Tahoma"/>
            <family val="2"/>
          </rPr>
          <t xml:space="preserve"> Restore at least 15 % of degraded areas through conservation and restoration activities</t>
        </r>
      </text>
    </comment>
    <comment ref="BX7" authorId="2">
      <text>
        <r>
          <rPr>
            <b/>
            <sz val="9"/>
            <color indexed="81"/>
            <rFont val="Tahoma"/>
            <family val="2"/>
          </rPr>
          <t>Billy Tsekos:</t>
        </r>
        <r>
          <rPr>
            <sz val="9"/>
            <color indexed="81"/>
            <rFont val="Tahoma"/>
            <family val="2"/>
          </rPr>
          <t xml:space="preserve">
</t>
        </r>
        <r>
          <rPr>
            <b/>
            <sz val="9"/>
            <color indexed="81"/>
            <rFont val="Tahoma"/>
            <family val="2"/>
          </rPr>
          <t xml:space="preserve">NR- P.10: </t>
        </r>
        <r>
          <rPr>
            <sz val="9"/>
            <color indexed="81"/>
            <rFont val="Tahoma"/>
            <family val="2"/>
          </rPr>
          <t xml:space="preserve">Main threats to biodiversity include: industrial development, urbanization, deforestation, illegal hunting, fishing, soil erosion, energy and mining, transport and tourism are the sectors that have impacts on the biological diversity. 
Other endangering factors: the uncontrolled pollution, alteration of river courses and hydro technical works, mineral resource extraction and overexploitation of biological resources.
</t>
        </r>
        <r>
          <rPr>
            <b/>
            <sz val="9"/>
            <color indexed="81"/>
            <rFont val="Tahoma"/>
            <family val="2"/>
          </rPr>
          <t xml:space="preserve">NBSAP-P.48: </t>
        </r>
        <r>
          <rPr>
            <sz val="9"/>
            <color indexed="81"/>
            <rFont val="Tahoma"/>
            <family val="2"/>
          </rPr>
          <t>Hunting is one of the activities with the largest impact on the status of biodiversity and its components. This is due to the fact that illicit hunting activities for almost two decades could not be put under control efficiently. This has led to a declining trend of the population of wild species, subject to hunting, in particular birds, which for the most part are migratory birds (Source: Ministry of Environment, INSTAT annual data).</t>
        </r>
      </text>
    </comment>
    <comment ref="CC7" authorId="2">
      <text>
        <r>
          <rPr>
            <b/>
            <sz val="9"/>
            <color indexed="81"/>
            <rFont val="Tahoma"/>
            <family val="2"/>
          </rPr>
          <t xml:space="preserve">Billy Tsekos:
</t>
        </r>
        <r>
          <rPr>
            <b/>
            <sz val="9"/>
            <color indexed="81"/>
            <rFont val="Tahoma"/>
            <family val="2"/>
          </rPr>
          <t xml:space="preserve">NBSAP-P.48: </t>
        </r>
        <r>
          <rPr>
            <sz val="9"/>
            <color indexed="81"/>
            <rFont val="Tahoma"/>
            <family val="2"/>
          </rPr>
          <t xml:space="preserve"> In order to adrss hunting, one of the important developments is a recent initiative of the Minister of Environment, by the end of 2013, with a proposal for the government to pass a law on prohibition of hunting in Albania for a given period of time. </t>
        </r>
        <r>
          <rPr>
            <b/>
            <sz val="9"/>
            <color indexed="81"/>
            <rFont val="Tahoma"/>
            <family val="2"/>
          </rPr>
          <t xml:space="preserve">
</t>
        </r>
        <r>
          <rPr>
            <sz val="9"/>
            <color indexed="81"/>
            <rFont val="Tahoma"/>
            <family val="2"/>
          </rPr>
          <t xml:space="preserve">
</t>
        </r>
        <r>
          <rPr>
            <b/>
            <sz val="9"/>
            <color indexed="81"/>
            <rFont val="Tahoma"/>
            <family val="2"/>
          </rPr>
          <t>NR- P.40:</t>
        </r>
        <r>
          <rPr>
            <sz val="9"/>
            <color indexed="81"/>
            <rFont val="Tahoma"/>
            <family val="2"/>
          </rPr>
          <t xml:space="preserve"> Implementation of concrete measures provided in management plans to ensure the favorable conservation status of globally threatened species and habitats;
</t>
        </r>
      </text>
    </comment>
    <comment ref="CW7" authorId="2">
      <text>
        <r>
          <rPr>
            <b/>
            <sz val="9"/>
            <color indexed="81"/>
            <rFont val="Tahoma"/>
            <family val="2"/>
          </rPr>
          <t>Billy Tsekos:</t>
        </r>
        <r>
          <rPr>
            <sz val="9"/>
            <color indexed="81"/>
            <rFont val="Tahoma"/>
            <family val="2"/>
          </rPr>
          <t xml:space="preserve">
</t>
        </r>
        <r>
          <rPr>
            <b/>
            <sz val="9"/>
            <color indexed="81"/>
            <rFont val="Tahoma"/>
            <family val="2"/>
          </rPr>
          <t xml:space="preserve">NR-P.15: </t>
        </r>
        <r>
          <rPr>
            <sz val="9"/>
            <color indexed="81"/>
            <rFont val="Tahoma"/>
            <family val="2"/>
          </rPr>
          <t xml:space="preserve">The extension of the representative network of Protected Areas, by increasing it since 2005 from 5.8 % to 15, 83 % actually;
</t>
        </r>
        <r>
          <rPr>
            <b/>
            <sz val="9"/>
            <color indexed="81"/>
            <rFont val="Tahoma"/>
            <family val="2"/>
          </rPr>
          <t xml:space="preserve">NR-P.10: </t>
        </r>
        <r>
          <rPr>
            <sz val="9"/>
            <color indexed="81"/>
            <rFont val="Tahoma"/>
            <family val="2"/>
          </rPr>
          <t>Map of Protected Areas in Albania (2014)</t>
        </r>
      </text>
    </comment>
    <comment ref="AV8" authorId="3">
      <text>
        <r>
          <rPr>
            <b/>
            <sz val="10"/>
            <color indexed="81"/>
            <rFont val="Calibri"/>
          </rPr>
          <t>Microsoft Office User:</t>
        </r>
        <r>
          <rPr>
            <sz val="10"/>
            <color indexed="81"/>
            <rFont val="Calibri"/>
          </rPr>
          <t xml:space="preserve">
igure 19, 20 p 64 and following of 5th NR</t>
        </r>
      </text>
    </comment>
    <comment ref="CV8" authorId="3">
      <text>
        <r>
          <rPr>
            <b/>
            <sz val="10"/>
            <color indexed="81"/>
            <rFont val="Calibri"/>
          </rPr>
          <t>Microsoft Office User:</t>
        </r>
        <r>
          <rPr>
            <sz val="10"/>
            <color indexed="81"/>
            <rFont val="Calibri"/>
          </rPr>
          <t xml:space="preserve">
La SPANB concourt à la mise en œuvre des deux autres conventions de Rio : la Convention des Nations Unies pour la Lutte contre la Désertification (CNULCD) et la Convention Cadre des Nations Unies sur les Changements Climatiques (CCNUCC).
En effet la SPANB vise au développement de mesures d’adaptation aux changements climatiques pour la réduction des vulnérabilités sociales et territoriales en particulier à travers la mise en place de mesures d’adaptation basée sur les écosystèmes (AbE). La SPANB peut donc pleinement s’inscrire comme une contribution à l’atteinte des objectifs du Plan National Climat (PNC). La Contribution Prévue Déterminée au niveau National (CPDN) presentée en septembre 2015 met d’ailleurs en avant de manière significative l’importance de l’adaptation notamment en vue de renforcer la résilience des écosystèmes (inondations et sécheresse) afin de minimiser les risques de catastrophes naturelles liées aux changements climatiques.
En matière de lutte contre la désertification, la SPANB vise la restauration des écosystèmes dégradés et peut donc délivrer une contribution significative au « défi de Bonn » et à l’ODD 15.3 sur la Neutralité en matière de Dégradation des Terres (NDT). La SPANB peut également concourir à l’atteinte des objectifs de la Grande Muraille Verte pour le Sahara et le Sahel à travers la contribution au plan d’action national élaboré. La SPANB soutient une participation active au programme “Great Green Wall for the Sahara and the Sahel Initiative (GGWSSI) » : une initiative pan-africaine lancée par l’Union Africaine en 2007.</t>
        </r>
      </text>
    </comment>
    <comment ref="ER8" authorId="0">
      <text>
        <r>
          <rPr>
            <sz val="9"/>
            <color indexed="81"/>
            <rFont val="Tahoma"/>
            <family val="2"/>
          </rPr>
          <t>Objectif 5 D’ici à 2020, le rythme d’appauvrissement et la dégradation des habitats naturels, y compris les forêts sont réduits de moitié.</t>
        </r>
      </text>
    </comment>
    <comment ref="ET8" authorId="0">
      <text>
        <r>
          <rPr>
            <sz val="9"/>
            <color indexed="81"/>
            <rFont val="Tahoma"/>
            <family val="2"/>
          </rPr>
          <t>NBSAP- P.96-  D’ici à 2020, la résilience des écosystèmes est améliorée grâce à des mesures d’’atténuation et d’adaptation des changements climatiques et des mesures de lutte contre la désertification. 
Implementing agency: Direction Nationale des Eaux et Forêts</t>
        </r>
      </text>
    </comment>
    <comment ref="ER9" authorId="0">
      <text>
        <r>
          <rPr>
            <sz val="9"/>
            <color indexed="81"/>
            <rFont val="Tahoma"/>
            <family val="2"/>
          </rPr>
          <t xml:space="preserve">Target 3. By 2020, adoption of a national ecosystem-based spatial planning process and plans, promoting the values of biodiversity and ecosystem services to sustain development 
Target 4. By 2020, up to 15% of the areas of degraded ecosystems in Nigeria are under programmes for restoration and sustainable management.
Target 6. By 2020, at least 10% of Nigeria’s national territory is sustainably managed in conservation areas at varied levels of authority, with representation of all ecosystem types. </t>
        </r>
      </text>
    </comment>
    <comment ref="EH10" authorId="0">
      <text>
        <r>
          <rPr>
            <b/>
            <sz val="9"/>
            <color indexed="81"/>
            <rFont val="Tahoma"/>
            <family val="2"/>
          </rPr>
          <t xml:space="preserve">Committed, but finalizing ha target
</t>
        </r>
      </text>
    </comment>
    <comment ref="ER10" authorId="0">
      <text>
        <r>
          <rPr>
            <sz val="9"/>
            <color indexed="81"/>
            <rFont val="Tahoma"/>
            <family val="2"/>
          </rPr>
          <t>Objectif 4 Renforcer les cadres juridique, institutionnel et la gouvernance d’ici 2018 afin de créer un environnement favorable à la lutte effective contre l’érosion de la biodiversité
Objectif 5 Réduire à l’horizon 2020, le rythme de dégradation et de fragmentation des habitats naturels à 2%
Objectif 7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r>
      </text>
    </comment>
    <comment ref="ET10" authorId="0">
      <text>
        <r>
          <rPr>
            <sz val="9"/>
            <color indexed="81"/>
            <rFont val="Tahoma"/>
            <family val="2"/>
          </rPr>
          <t xml:space="preserve">5 NR- P.79  - Objectif 16. 
Mettre en place d’ici à 2018 un système de référence MRV (Mesure, Rapportage et Vérification) afin de renforcer la résilience des écosystèmes et de la biodiversité contre les changements climatiques.
</t>
        </r>
      </text>
    </comment>
    <comment ref="BA11" authorId="0">
      <text>
        <r>
          <rPr>
            <sz val="9"/>
            <color indexed="81"/>
            <rFont val="Tahoma"/>
            <family val="2"/>
          </rPr>
          <t>Target 5: By 2020 an effective monitoring protocol for critical habitats, mainly forests, mangroves and coral reefs has been implemented to assist in reducing degradation and fragmentation and measures developed and undertaken to reduce the rate of loss by 10%</t>
        </r>
      </text>
    </comment>
    <comment ref="BI11" authorId="0">
      <text>
        <r>
          <rPr>
            <sz val="9"/>
            <color indexed="81"/>
            <rFont val="Tahoma"/>
            <family val="2"/>
          </rPr>
          <t xml:space="preserve">NBSAP-p.36- By 2020 Restoration of biodiversity hotspots in Antigua and Barbuda thereby contributing to climate change mitigation and adaptation and to combating desertification
</t>
        </r>
      </text>
    </comment>
    <comment ref="ER11" authorId="0">
      <text>
        <r>
          <rPr>
            <sz val="9"/>
            <color indexed="81"/>
            <rFont val="Tahoma"/>
            <family val="2"/>
          </rPr>
          <t xml:space="preserve">5th NR- p.91-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r>
      </text>
    </comment>
    <comment ref="ET11" authorId="0">
      <text>
        <r>
          <rPr>
            <sz val="9"/>
            <color indexed="81"/>
            <rFont val="Tahoma"/>
            <family val="2"/>
          </rPr>
          <t xml:space="preserve">5th NR- p.58-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r>
      </text>
    </comment>
    <comment ref="AH12" authorId="0">
      <text>
        <r>
          <rPr>
            <b/>
            <sz val="9"/>
            <color indexed="81"/>
            <rFont val="Tahoma"/>
            <family val="2"/>
          </rPr>
          <t xml:space="preserve">p 24
Tabla II.3. Porcentaje de pérdida anual de Tierras Forestales y Otras Tierras Forestales por provincia y período (%).
Fuente: Monitoreo de la superficie de bosque nativo de la República Argentina. Período 2013-2014. Regiones Forestales Parque Chaqueño, Yungas, Selva Paranaense y Espinal. UMSEF, Mayo 2015.
</t>
        </r>
      </text>
    </comment>
    <comment ref="BX12" authorId="0">
      <text>
        <r>
          <rPr>
            <b/>
            <sz val="9"/>
            <color indexed="81"/>
            <rFont val="Tahoma"/>
            <family val="2"/>
          </rPr>
          <t xml:space="preserve">p27 incendios
</t>
        </r>
      </text>
    </comment>
    <comment ref="CC12" authorId="0">
      <text>
        <r>
          <rPr>
            <sz val="9"/>
            <color indexed="81"/>
            <rFont val="Tahoma"/>
            <family val="2"/>
          </rPr>
          <t>En respuesta a esta situación se sancionó en 2007 la Ley Nacional Nº 26.331 de Presupuestos Mínimos de Protección Ambiental de los Bosques Nativos, que establece los presupuestos mínimos de protección ambiental para el enriquecimiento, restauración, conservación, aprovechamiento y manejo sustentable de los bosques nativos y de los servicios ambientales que éstos brindan. Asimismo, estableció un régimen de fomento y criterios para la asignación de fondos a cambio se los servicios ambientales provistos por el bosque (UMSEF 2012). La ley de bosques representa un avance muy  importante en relación a la disminución de las amenazas de la biodiversidad y por tanto en pos de su conservación y uso sustentable de la biodiversidad. La ley de bosques es una herramienta indispensable para regular el recurso natural desde una política de Estado a través de los planes de conservación, de cambio de uso del suelo y de manejo, que implica conservar produciendo. Los fondos destinados a la inversión de unos 2500 planes (de empresas privadas, pueblos originarios o criollos, entre otros) ascienden a $800 millones del presupuesto del gobierno nacional otorgados a las provincias para compensar económicamente a quienes conservan y hacen un manejo sustentable de los bosques nativos, y para el fortalecimiento institucional provincial. 
Por otra parte, en el marco de la Ley 26.331 de Bosques Nativos, la SAyDS junto con el Ministerio de Agricultura, Ganadería y Pesca de la Nación han decidido trabajar en un abordaje integral en pos del desarrollo productivo sustentable, estimulando las economías regionales en beneficio de las poblaciones que habitan los bosques. 
Es por ello que la Dirección de Producción Forestal (DPF) del MAGyP y la Dirección de Bosques (DB) de la SAyDS iniciaron un proceso de intercambio técnico con el fin de establecer una posición común respecto a los mecanismos para realizar intervenciones sobre los bosques nativos. de acuerdo a la normativa vigente. Además de la Ley N° 26.331, que establece la realización de un Ordenamiento Territorial de los Bosques Nativos OTBN por parte de los estados provinciales, la Ley N° 25.080 del MAGyP, promueve la actividad forestal a través del otorgamiento de apoyos económicos no reintegrables para la implantación de bosques cultivados, el enriquecimiento de bosques nativos degradados (con especies de alto valor comercial) y los tratamientos silviculturales asociados. A partir de este nuevo escenario toda actividad productiva forestal que se realice sobre los bosques nativos debe ajustarse al principio rector que se desprende de la Ley N° 26.331, fomentando en consecuencia que actividades productivas forestales estén en balance con la conservación de la biodiversidad y sus servicios ecosistémicos. Para ampliar la información respecto a este punto ver Sección III, meta 3 de AICHI.
Además, se ha puesto en funcionamiento el "Plan Nacional de Manejo de Bosques con Ganadería Integrada", con el objetivo de contribuir al uso sustentable de los bosques nativos como una alternativa frente al cambio de uso del suelo (ver caso de estudio sobre Ley de Bosques).</t>
        </r>
        <r>
          <rPr>
            <b/>
            <sz val="9"/>
            <color indexed="81"/>
            <rFont val="Tahoma"/>
            <family val="2"/>
          </rPr>
          <t xml:space="preserve">
</t>
        </r>
      </text>
    </comment>
    <comment ref="CV12" authorId="0">
      <text>
        <r>
          <rPr>
            <b/>
            <sz val="9"/>
            <color indexed="81"/>
            <rFont val="Tahoma"/>
            <family val="2"/>
          </rPr>
          <t xml:space="preserve">p51
</t>
        </r>
      </text>
    </comment>
    <comment ref="EA12" authorId="4">
      <text>
        <r>
          <rPr>
            <sz val="10"/>
            <color rgb="FF000000"/>
            <rFont val="Arial"/>
          </rPr>
          <t>Responder updated this value.</t>
        </r>
      </text>
    </comment>
    <comment ref="EH12" authorId="0">
      <text>
        <r>
          <rPr>
            <b/>
            <sz val="9"/>
            <color indexed="81"/>
            <rFont val="Tahoma"/>
            <family val="2"/>
          </rPr>
          <t>1 million ha</t>
        </r>
      </text>
    </comment>
    <comment ref="ER12" authorId="0">
      <text>
        <r>
          <rPr>
            <sz val="9"/>
            <color indexed="81"/>
            <rFont val="Tahoma"/>
            <family val="2"/>
          </rPr>
          <t>(p.47) At least 60% reduction in the rate of deforestation in the southeast and northwestern biomes especially those attributable to subsistence agriculture, forestry and mining activities by 2018.</t>
        </r>
      </text>
    </comment>
    <comment ref="ER13" authorId="0">
      <text>
        <r>
          <rPr>
            <sz val="9"/>
            <color indexed="81"/>
            <rFont val="Tahoma"/>
            <family val="2"/>
          </rPr>
          <t>NI</t>
        </r>
      </text>
    </comment>
    <comment ref="EH14" authorId="0">
      <text>
        <r>
          <rPr>
            <b/>
            <sz val="9"/>
            <color indexed="81"/>
            <rFont val="Tahoma"/>
            <family val="2"/>
          </rPr>
          <t>3.2 million ha</t>
        </r>
      </text>
    </comment>
    <comment ref="ER14" authorId="0">
      <text>
        <r>
          <rPr>
            <sz val="9"/>
            <color indexed="81"/>
            <rFont val="Tahoma"/>
            <family val="2"/>
          </rPr>
          <t>Objectif stratégique 1 Conserver et exploiter durablement les écosystèmes, les espèces et les ressources génétiques
Objectif stratégique 2 Réduire les pollutions diverses
Objectif stratégique 3 Améliorer et développer des outils de gestion des aires protégées
Objectif Stratégique 4 Prendre en compte la diversité biologique dans les politiques et stratégies</t>
        </r>
      </text>
    </comment>
    <comment ref="AH15" authorId="1">
      <text>
        <r>
          <rPr>
            <b/>
            <sz val="9"/>
            <color indexed="81"/>
            <rFont val="Tahoma"/>
            <family val="2"/>
          </rPr>
          <t>billy.tsekos:</t>
        </r>
        <r>
          <rPr>
            <sz val="9"/>
            <color indexed="81"/>
            <rFont val="Tahoma"/>
            <family val="2"/>
          </rPr>
          <t xml:space="preserve">
</t>
        </r>
        <r>
          <rPr>
            <b/>
            <sz val="9"/>
            <color indexed="81"/>
            <rFont val="Tahoma"/>
            <family val="2"/>
          </rPr>
          <t xml:space="preserve">NR-P.11: </t>
        </r>
        <r>
          <rPr>
            <sz val="9"/>
            <color indexed="81"/>
            <rFont val="Tahoma"/>
            <family val="2"/>
          </rPr>
          <t xml:space="preserve">According to the Sustainable Australia 2013 report, the extent of native vegetation is steady. An example provided in the report was for forests (one type of vegetation) where the annual rate of loss in mapped intensive-use areas over the decade to 2010 averaged 1.1 million hectares which was offset by forest expansion that averaged 1 million hectares annually. Between 2007 and 2010, the area of forest regrowth surpassed the area of deforestation, meaning that there was a small net gain of forest in Australia for the first time since the early 1990s (National Sustainability Council, 2013). However, the report noted that the regrowth vegetation and the environmental values of these areas are generally different from the vegetation that has been cleared. Steps have been taken to limit clearing of native vegetation in many regions of Australia, but it remains a significant pressure in some areas, and the legacy effects of past clearing mean that the impacts are not yet reducing (National Sustainability Council, 2013). </t>
        </r>
      </text>
    </comment>
    <comment ref="BA15" authorId="0">
      <text>
        <r>
          <rPr>
            <b/>
            <sz val="9"/>
            <color indexed="81"/>
            <rFont val="Tahoma"/>
            <family val="2"/>
          </rPr>
          <t>NR- P.55:</t>
        </r>
        <r>
          <rPr>
            <sz val="9"/>
            <color indexed="81"/>
            <rFont val="Tahoma"/>
            <family val="2"/>
          </rPr>
          <t xml:space="preserve"> </t>
        </r>
        <r>
          <rPr>
            <b/>
            <sz val="9"/>
            <color indexed="81"/>
            <rFont val="Tahoma"/>
            <family val="2"/>
          </rPr>
          <t>ABCS Target 4:</t>
        </r>
        <r>
          <rPr>
            <sz val="9"/>
            <color indexed="81"/>
            <rFont val="Tahoma"/>
            <family val="2"/>
          </rPr>
          <t xml:space="preserve"> By 2015, achieve  a national increase of 600,000km2 of native habitat managed primarily for biodiversity conservation across terrestrial, aquatic and  marine environments.</t>
        </r>
      </text>
    </comment>
    <comment ref="BD15" authorId="1">
      <text>
        <r>
          <rPr>
            <b/>
            <sz val="9"/>
            <color indexed="81"/>
            <rFont val="Tahoma"/>
            <family val="2"/>
          </rPr>
          <t>billy.tsekos:</t>
        </r>
        <r>
          <rPr>
            <sz val="9"/>
            <color indexed="81"/>
            <rFont val="Tahoma"/>
            <family val="2"/>
          </rPr>
          <t xml:space="preserve">
2015</t>
        </r>
      </text>
    </comment>
    <comment ref="BH15"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 xml:space="preserve"> Habitat loss, fragmentation and degradation directly reduces the extent and condition of native vegetation across Australia while also affecting the viability and survival of individual plant populations, as well as plant species and the wildlife species that rely on them.
Australia’s Native Vegetation Framework 2012 states that the highest levels of native vegetation clearing, degradation and fragmentation have occurred in the intensive land use zones (both urban and agricultural), which continue to face pressures on native vegetation extent and condition. In the southern states of Australia, land use change has resulted in patchy, fragmented remnants and small, isolated populations across much of the landscape.
To mitigate the degree and potential impact of these drivers, Australia is moving toward an integrated landscape-scale approach to conservation and NRM. Landscape-scale planning and management will help address risk, uncertainties and trade-offs between biodiversity conservation and other objectives for land use, and make it possible to manage strategically (State of the Environment Committee, 2011). This will enable a more sustainable approach to land use change, including the protection of valuable environmental areas over the long term, maintaining habitat connectivity at a national scale, and building resilience of both communities and ecosystems (DSEWPaC, 2012).
</t>
        </r>
        <r>
          <rPr>
            <b/>
            <sz val="9"/>
            <color indexed="81"/>
            <rFont val="Tahoma"/>
            <family val="2"/>
          </rPr>
          <t xml:space="preserve">
NR-P.20: ABCS Target 5-</t>
        </r>
        <r>
          <rPr>
            <sz val="9"/>
            <color indexed="81"/>
            <rFont val="Tahoma"/>
            <family val="2"/>
          </rPr>
          <t xml:space="preserve"> By 2015, 1,000km2 of fragmented landscapes and aquatic systems are being restored to improve ecological connectivity.</t>
        </r>
      </text>
    </comment>
    <comment ref="BI15" authorId="1">
      <text>
        <r>
          <rPr>
            <b/>
            <sz val="9"/>
            <color indexed="81"/>
            <rFont val="Tahoma"/>
            <family val="2"/>
          </rPr>
          <t>billy.tsekos:</t>
        </r>
        <r>
          <rPr>
            <sz val="9"/>
            <color indexed="81"/>
            <rFont val="Tahoma"/>
            <family val="2"/>
          </rPr>
          <t xml:space="preserve">
</t>
        </r>
        <r>
          <rPr>
            <b/>
            <sz val="9"/>
            <color indexed="81"/>
            <rFont val="Tahoma"/>
            <family val="2"/>
          </rPr>
          <t xml:space="preserve">NR- P.27: ABCS Target 4: </t>
        </r>
        <r>
          <rPr>
            <sz val="9"/>
            <color indexed="81"/>
            <rFont val="Tahoma"/>
            <family val="2"/>
          </rPr>
          <t xml:space="preserve">By 2015, achieve a national increase of 600,000km2 of native habitat managed primarily for biodiversity conservation across terrestrial, aquatic and marine environments
</t>
        </r>
        <r>
          <rPr>
            <b/>
            <sz val="9"/>
            <color indexed="81"/>
            <rFont val="Tahoma"/>
            <family val="2"/>
          </rPr>
          <t>NR- P.27:</t>
        </r>
        <r>
          <rPr>
            <sz val="9"/>
            <color indexed="81"/>
            <rFont val="Tahoma"/>
            <family val="2"/>
          </rPr>
          <t xml:space="preserve"> </t>
        </r>
        <r>
          <rPr>
            <b/>
            <sz val="9"/>
            <color indexed="81"/>
            <rFont val="Tahoma"/>
            <family val="2"/>
          </rPr>
          <t>ABCS Target 5:</t>
        </r>
        <r>
          <rPr>
            <sz val="9"/>
            <color indexed="81"/>
            <rFont val="Tahoma"/>
            <family val="2"/>
          </rPr>
          <t xml:space="preserve"> By 2015, 1,000km2 of fragmented landscapes and aquatic systems are being restored to improve ecological connectivity.
</t>
        </r>
        <r>
          <rPr>
            <b/>
            <sz val="9"/>
            <color indexed="81"/>
            <rFont val="Tahoma"/>
            <family val="2"/>
          </rPr>
          <t>NR- P.27:</t>
        </r>
        <r>
          <rPr>
            <sz val="9"/>
            <color indexed="81"/>
            <rFont val="Tahoma"/>
            <family val="2"/>
          </rPr>
          <t xml:space="preserve"> </t>
        </r>
        <r>
          <rPr>
            <b/>
            <sz val="9"/>
            <color indexed="81"/>
            <rFont val="Tahoma"/>
            <family val="2"/>
          </rPr>
          <t xml:space="preserve">ABCS Target 6: </t>
        </r>
        <r>
          <rPr>
            <sz val="9"/>
            <color indexed="81"/>
            <rFont val="Tahoma"/>
            <family val="2"/>
          </rPr>
          <t>By 2015, four collaborative continental-scale linkages are established and managed to improve ecological connectivity.</t>
        </r>
      </text>
    </comment>
    <comment ref="BL15" authorId="1">
      <text>
        <r>
          <rPr>
            <b/>
            <sz val="9"/>
            <color indexed="81"/>
            <rFont val="Tahoma"/>
            <family val="2"/>
          </rPr>
          <t>billy.tsekos:</t>
        </r>
        <r>
          <rPr>
            <sz val="9"/>
            <color indexed="81"/>
            <rFont val="Tahoma"/>
            <family val="2"/>
          </rPr>
          <t xml:space="preserve">
The comprehensive, adequate and representative reserve system established in Regional Forest Agreement regions resulted in the placement into conservation the following: 104 399 hectares in Western Australia (10 per cent increase); 754 312 hectares in Victoria (36 per cent increase); 1 836 044 hectares (85 per cent increase) in New South Wales; and 630 400 hectares (27 per cent increase) in Tasmania.
</t>
        </r>
        <r>
          <rPr>
            <b/>
            <sz val="9"/>
            <color indexed="81"/>
            <rFont val="Tahoma"/>
            <family val="2"/>
          </rPr>
          <t xml:space="preserve">
NR- p.24: Case study: Whole-of-paddock rehabilitation, New South Wales and Western  Australia </t>
        </r>
        <r>
          <rPr>
            <sz val="9"/>
            <color indexed="81"/>
            <rFont val="Tahoma"/>
            <family val="2"/>
          </rPr>
          <t xml:space="preserve">
Australian Government funding supported Greening Australia to work with farmers, catchment management authorities and NRM groups in central-western New South Wales and south-west Western Australia to deliver whole-of-paddock rehabilitation over three years. 
Greening Australia engaged farmers to temporarily volunteer a paddock of at least 100 000 square metres to be planted with native trees and shrubs, with the aim of returning around 25 per cent of the paddock to deep-rooted perennial vegetation. The vegetated paddocks are then rested from production for five years and farmers receive stewardship payments to offset some of their production loss. Stock are permitted to be re-introduced after five years under a rotational grazing system after the plantings have established. 
This whole-of-paddock rehabilitation project was a practical, cost-effective way of integrating conservation and production goals. Key benefits included increased biodiversity, carbon sequestration, return of ground cover and productive native perennial pastures and shrubs, and salinity and erosion control with improved grazing productivity of paddocks. These outcomes will have long-lasting impacts on the environment and agricultural production. Re-establishing connectivity and restoring landscape biodiversity will help mitigate the effects of climate change and help contain pests and diseases as well as providing shelter and shade for livestock and improving soil condition.</t>
        </r>
      </text>
    </comment>
    <comment ref="BP15" authorId="1">
      <text>
        <r>
          <rPr>
            <b/>
            <sz val="9"/>
            <color indexed="81"/>
            <rFont val="Tahoma"/>
            <family val="2"/>
          </rPr>
          <t xml:space="preserve">billy.tsekos:
NR- p.18: </t>
        </r>
        <r>
          <rPr>
            <sz val="9"/>
            <color indexed="81"/>
            <rFont val="Tahoma"/>
            <family val="2"/>
          </rPr>
          <t xml:space="preserve">Australia has 65 Ramsar wetlands and more than 900 nationally important wetlands.  In 2012, the Australian Government designated Australia’s 65th Ramsar site, Piccaninnie Ponds Karst Wetlands in South Australia. Historically, drainage and land clearance for agriculture significantly diminished the site’s natural values. Following Ramsar listing and extensive site restoration efforts by the South Australian Government, it is now an impressive example of a natural karst system and supports numerous freshwater plants and animals, including some listed as nationally or internationally threatened. 
</t>
        </r>
        <r>
          <rPr>
            <b/>
            <sz val="9"/>
            <color indexed="81"/>
            <rFont val="Tahoma"/>
            <family val="2"/>
          </rPr>
          <t xml:space="preserve">NR- p.40&amp;66: </t>
        </r>
        <r>
          <rPr>
            <sz val="9"/>
            <color indexed="81"/>
            <rFont val="Tahoma"/>
            <family val="2"/>
          </rPr>
          <t xml:space="preserve">The Regional Natural Resource Management Planning for Climate Change Fund was established to help regional communities plan for climate change impacts on the land and identify priority areas for carbon abatement, green corridors and environmental restoration in the landscape. This information will support regional NRM organisations in planning for carbon abatement, manage the impacts of climate change, and prioritise environmental restoration activities.
</t>
        </r>
        <r>
          <rPr>
            <b/>
            <sz val="9"/>
            <color indexed="81"/>
            <rFont val="Tahoma"/>
            <family val="2"/>
          </rPr>
          <t xml:space="preserve">NR- p.63: </t>
        </r>
        <r>
          <rPr>
            <sz val="9"/>
            <color indexed="81"/>
            <rFont val="Tahoma"/>
            <family val="2"/>
          </rPr>
          <t xml:space="preserve">The Australian Government launched the National Wildlife Corridors  Plan to guide efforts to link national parks and reserves with well-managed private land. The Plan supports the conservation of biodiversity by informing the retention, restoration and management of ecological connections across the Australian landscape
</t>
        </r>
        <r>
          <rPr>
            <b/>
            <sz val="9"/>
            <color indexed="81"/>
            <rFont val="Tahoma"/>
            <family val="2"/>
          </rPr>
          <t xml:space="preserve">NR- p.66: </t>
        </r>
        <r>
          <rPr>
            <sz val="9"/>
            <color indexed="81"/>
            <rFont val="Tahoma"/>
            <family val="2"/>
          </rPr>
          <t xml:space="preserve">The Australian Government has announced that Twenty Million Trees will be planted by 2020 in a programme that will commence mid-2014. 
</t>
        </r>
        <r>
          <rPr>
            <b/>
            <sz val="9"/>
            <color indexed="81"/>
            <rFont val="Tahoma"/>
            <family val="2"/>
          </rPr>
          <t xml:space="preserve">NR- p.81: </t>
        </r>
        <r>
          <rPr>
            <sz val="9"/>
            <color indexed="81"/>
            <rFont val="Tahoma"/>
            <family val="2"/>
          </rPr>
          <t>The Australian Seed Bank Partnership is working to share information through the Atlas of Living Australia on methods for germinating and re-establishing native flora to support the restoration industry.</t>
        </r>
      </text>
    </comment>
    <comment ref="BX15"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ahoma"/>
            <family val="2"/>
          </rPr>
          <t xml:space="preserve">Habitat loss, fragmentation and degradation directly reduces the extent and condition of native vegetation across Australia while also affecting the viability and survival of individual plant populations, as well as plant species and the wildlife species that rely on them. Australia’s Native Vegetation Framework 2012 states that the highest levels of native vegetation clearing, degradation and fragmentation have occurred in the intensive land use zones (both urban and agricultural), which continue to face pressures on native vegetation extent and condition. In the southern states of Australia, land use change has resulted in patchy, fragmented remnants and small, isolated populations across much of the landscape
</t>
        </r>
        <r>
          <rPr>
            <b/>
            <sz val="9"/>
            <color indexed="81"/>
            <rFont val="Tahoma"/>
            <family val="2"/>
          </rPr>
          <t xml:space="preserve">
ABCS -P23:</t>
        </r>
        <r>
          <rPr>
            <sz val="9"/>
            <color indexed="81"/>
            <rFont val="Tahoma"/>
            <family val="2"/>
          </rPr>
          <t xml:space="preserve"> The underlying drivers of habitat loss cut across all sectors of society and the
economy. These include:
• lack of recognition of the value of biodiversity and ecosystem services
• lack of recognition of the cumulative and indirect effects of activities on
biodiversity and ecosystem services
• the perceived cost of activities to maintain and restore habitat quality
• economic and social pressures and incentives to clear or degrade habitat
areas.</t>
        </r>
      </text>
    </comment>
    <comment ref="CC15"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ahoma"/>
            <family val="2"/>
          </rPr>
          <t>To mitigate the degree and potential impact of these drivers, Australia is moving toward an integrated landscape-scale approach to conservation and NRM. Landscape-scale planning and management will help address risk, uncertainties and trade-offs between biodiversity conservation and other objectives for land use, and make it possible to manage strategically (State of the Environment Committee, 2011). This will enable a more sustainable approach to land use change, including the protection of valuable environmental areas over the long term, maintaining habitat connectivity at a national scale, and building resilience of both communities and ecosystems (DSEWPaC, 2012).</t>
        </r>
      </text>
    </comment>
    <comment ref="CP15" authorId="1">
      <text>
        <r>
          <rPr>
            <b/>
            <sz val="9"/>
            <color indexed="81"/>
            <rFont val="Tahoma"/>
            <family val="2"/>
          </rPr>
          <t>billy.tsekos:</t>
        </r>
        <r>
          <rPr>
            <sz val="9"/>
            <color indexed="81"/>
            <rFont val="Tahoma"/>
            <family val="2"/>
          </rPr>
          <t xml:space="preserve">
</t>
        </r>
        <r>
          <rPr>
            <b/>
            <sz val="9"/>
            <color indexed="81"/>
            <rFont val="Tahoma"/>
            <family val="2"/>
          </rPr>
          <t>NR-P.41:</t>
        </r>
        <r>
          <rPr>
            <sz val="9"/>
            <color indexed="81"/>
            <rFont val="Tahoma"/>
            <family val="2"/>
          </rPr>
          <t xml:space="preserve"> The Biodiversity Fund ran from 2011-2014 to provide investment to improve the resilience of Australia’s landscape to climate change, enhance the environmental outcomes of Carbon Farming Initiative projects and help landholders to protect carbon and biodiversity values on their land. </t>
        </r>
      </text>
    </comment>
    <comment ref="CQ15" authorId="1">
      <text>
        <r>
          <rPr>
            <b/>
            <sz val="9"/>
            <color indexed="81"/>
            <rFont val="Tahoma"/>
            <family val="2"/>
          </rPr>
          <t xml:space="preserve">billy.tsekos:
NR-P.19: </t>
        </r>
        <r>
          <rPr>
            <sz val="9"/>
            <color indexed="81"/>
            <rFont val="Tahoma"/>
            <family val="2"/>
          </rPr>
          <t>Aquatic ecosystems are considered to be particularly vulnerable to the impacts of climate change. Important drivers of wetland structure and function such as changed rainfall patterns, river flow, groundwater level, sea level and temperature are all predicted to be altered by climate change.</t>
        </r>
        <r>
          <rPr>
            <b/>
            <sz val="9"/>
            <color indexed="81"/>
            <rFont val="Tahoma"/>
            <family val="2"/>
          </rPr>
          <t xml:space="preserve">
</t>
        </r>
        <r>
          <rPr>
            <sz val="9"/>
            <color indexed="81"/>
            <rFont val="Tahoma"/>
            <family val="2"/>
          </rPr>
          <t xml:space="preserve">
</t>
        </r>
        <r>
          <rPr>
            <b/>
            <sz val="9"/>
            <color indexed="81"/>
            <rFont val="Tahoma"/>
            <family val="2"/>
          </rPr>
          <t xml:space="preserve">NR-P.25: </t>
        </r>
        <r>
          <rPr>
            <sz val="9"/>
            <color indexed="81"/>
            <rFont val="Tahoma"/>
            <family val="2"/>
          </rPr>
          <t>Research on potential climate change adaptation strategies for terrestrial, freshwater and marine biodiversity has been undertaken from 2008–2013 through the National Climate Change Adaptation Research Facility. This facility was established by the Australian Government in 2008 to harness and coordinate the capabilities of Australia’s researchers, to generate and communicate the knowledge decision-makers need for successful adaptation to climate change. Part of the facility’s work was to produce National Adaptation Research Plans (NARPs) in 2010 for terrestrial biodiversity and marine biodiversity themes. In 2012, these NARPs were updated to reflect progress in knowledge under each research theme</t>
        </r>
      </text>
    </comment>
    <comment ref="CW15" authorId="1">
      <text>
        <r>
          <rPr>
            <b/>
            <sz val="9"/>
            <color indexed="81"/>
            <rFont val="Tahoma"/>
            <family val="2"/>
          </rPr>
          <t>billy.tsekos:</t>
        </r>
        <r>
          <rPr>
            <sz val="9"/>
            <color indexed="81"/>
            <rFont val="Tahoma"/>
            <family val="2"/>
          </rPr>
          <t xml:space="preserve">
Australia has recognised the value in conserving examples of our unique landscapes, plants and animals for future generations. Australia has invested in establishing an NRS, which is Australia’s network of parks, reserves and protected areas. Its aim is to protect samples of the full range of native Australian ecosystems. The NRS includes a broad range of habitats from rainforests to savannahs through to alpine regions and deserts. A map showing the current status of protected areas in Australia, in terms of interim bioregionalisation of Australia, </t>
        </r>
      </text>
    </comment>
    <comment ref="DE15" authorId="1">
      <text>
        <r>
          <rPr>
            <b/>
            <sz val="9"/>
            <color indexed="81"/>
            <rFont val="Tahoma"/>
            <family val="2"/>
          </rPr>
          <t>billy.tsekos:</t>
        </r>
        <r>
          <rPr>
            <sz val="9"/>
            <color indexed="81"/>
            <rFont val="Tahoma"/>
            <family val="2"/>
          </rPr>
          <t xml:space="preserve">
Absolute economy-wide emissions reduction by 2030, to be
developed into an emissions budget covering the period 2021-2030</t>
        </r>
      </text>
    </comment>
    <comment ref="ER15" authorId="0">
      <text>
        <r>
          <rPr>
            <sz val="9"/>
            <color indexed="81"/>
            <rFont val="Tahoma"/>
            <family val="2"/>
          </rPr>
          <t>NI</t>
        </r>
      </text>
    </comment>
    <comment ref="BA16" authorId="0">
      <text>
        <r>
          <rPr>
            <sz val="9"/>
            <color indexed="81"/>
            <rFont val="Tahoma"/>
            <family val="2"/>
          </rPr>
          <t xml:space="preserve">TARGET 10: SPECIES AND HABITATS ARE CONSERVED </t>
        </r>
      </text>
    </comment>
    <comment ref="ER18" authorId="0">
      <text>
        <r>
          <rPr>
            <sz val="9"/>
            <color indexed="81"/>
            <rFont val="Tahoma"/>
            <family val="2"/>
          </rPr>
          <t>Target 5
By 2020, the rate of biodiversity loss,
including forest fragmentation and
land degradation is considerably
reduced by 50%</t>
        </r>
      </text>
    </comment>
    <comment ref="ET18" authorId="0">
      <text>
        <r>
          <rPr>
            <sz val="9"/>
            <color indexed="81"/>
            <rFont val="Tahoma"/>
            <family val="2"/>
          </rPr>
          <t xml:space="preserve">5 NR- P.33 - 
By 2020, ecosystem resilience and the contribution of biodiversity to carbon stocks has been enhanced, through conservation and restoration, including restoration of at least 50 per cent of degraded ecosystems, </t>
        </r>
      </text>
    </comment>
    <comment ref="ER19" authorId="0">
      <text>
        <r>
          <rPr>
            <sz val="9"/>
            <color indexed="81"/>
            <rFont val="Tahoma"/>
            <family val="2"/>
          </rPr>
          <t>NI</t>
        </r>
      </text>
    </comment>
    <comment ref="Z20" authorId="1">
      <text>
        <r>
          <rPr>
            <b/>
            <sz val="9"/>
            <color indexed="81"/>
            <rFont val="Tahoma"/>
            <family val="2"/>
          </rPr>
          <t>billy.tsekos:</t>
        </r>
        <r>
          <rPr>
            <sz val="9"/>
            <color indexed="81"/>
            <rFont val="Tahoma"/>
            <family val="2"/>
          </rPr>
          <t xml:space="preserve">
</t>
        </r>
        <r>
          <rPr>
            <b/>
            <sz val="9"/>
            <color indexed="81"/>
            <rFont val="Tahoma"/>
            <family val="2"/>
          </rPr>
          <t>NR-P.3:</t>
        </r>
        <r>
          <rPr>
            <sz val="9"/>
            <color indexed="81"/>
            <rFont val="Tahoma"/>
            <family val="2"/>
          </rPr>
          <t xml:space="preserve">Table 1 Area of Forests Managed by the Bangladesh Forest Department
</t>
        </r>
        <r>
          <rPr>
            <b/>
            <sz val="9"/>
            <color indexed="81"/>
            <rFont val="Tahoma"/>
            <family val="2"/>
          </rPr>
          <t xml:space="preserve">
NR-P.5,6,7:</t>
        </r>
        <r>
          <rPr>
            <sz val="9"/>
            <color indexed="81"/>
            <rFont val="Tahoma"/>
            <family val="2"/>
          </rPr>
          <t>Forest Types in Bangladesh</t>
        </r>
      </text>
    </comment>
    <comment ref="AO20"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 xml:space="preserve">The plain land forests of Bangladesh, commonly known as Gazari or Sal forests are located in the central and northern region. The Sal forests originally comprise an area of 120,255 hectares of notified forests under the control of Bangladesh Forest Department, out of which 104,616 hectares (87%) are located in the central region and 15,639 hectares (13%) in the northern region (Altrell et al., 2007). Most of the Sal forests are now severely degraded and poorly stocked. These are, in fact, the worst hit of all the forests in the country and the last National Forest Resources Assessment reported that the Sal forests areas of Bangladesh are now only 34,000 hectares. About 7,314 acres of Madhupur Sal forests areas were converted to rubber gardens.
</t>
        </r>
        <r>
          <rPr>
            <b/>
            <sz val="9"/>
            <color indexed="81"/>
            <rFont val="Tahoma"/>
            <family val="2"/>
          </rPr>
          <t>NR-P.47</t>
        </r>
        <r>
          <rPr>
            <sz val="9"/>
            <color indexed="81"/>
            <rFont val="Tahoma"/>
            <family val="2"/>
          </rPr>
          <t>:The total area of newly added 20 forest PA is 33,915.31 hectares. All 38 forest PAs now cover about 10.55% of total forest area which is 1.8% of the total area of the country. The forest PAs managed by Bangladesh Forest Department are shown in figure 7</t>
        </r>
      </text>
    </comment>
    <comment ref="AV20" authorId="1">
      <text>
        <r>
          <rPr>
            <b/>
            <sz val="9"/>
            <color indexed="81"/>
            <rFont val="Tahoma"/>
            <family val="2"/>
          </rPr>
          <t>billy.tsekos:</t>
        </r>
        <r>
          <rPr>
            <sz val="9"/>
            <color indexed="81"/>
            <rFont val="Tahoma"/>
            <family val="2"/>
          </rPr>
          <t xml:space="preserve">
</t>
        </r>
        <r>
          <rPr>
            <b/>
            <sz val="9"/>
            <color indexed="81"/>
            <rFont val="Tahoma"/>
            <family val="2"/>
          </rPr>
          <t xml:space="preserve">NR-P.55: </t>
        </r>
        <r>
          <rPr>
            <sz val="9"/>
            <color indexed="81"/>
            <rFont val="Tahoma"/>
            <family val="2"/>
          </rPr>
          <t>Degree of Pressures and Threats to Protected Areas</t>
        </r>
      </text>
    </comment>
    <comment ref="BH20" authorId="1">
      <text>
        <r>
          <rPr>
            <b/>
            <sz val="9"/>
            <color indexed="81"/>
            <rFont val="Tahoma"/>
            <family val="2"/>
          </rPr>
          <t>billy.tsekos:</t>
        </r>
        <r>
          <rPr>
            <sz val="9"/>
            <color indexed="81"/>
            <rFont val="Tahoma"/>
            <family val="2"/>
          </rPr>
          <t xml:space="preserve">
</t>
        </r>
        <r>
          <rPr>
            <b/>
            <sz val="9"/>
            <color indexed="81"/>
            <rFont val="Tahoma"/>
            <family val="2"/>
          </rPr>
          <t xml:space="preserve">NR-P.55: </t>
        </r>
        <r>
          <rPr>
            <sz val="9"/>
            <color indexed="81"/>
            <rFont val="Tahoma"/>
            <family val="2"/>
          </rPr>
          <t xml:space="preserve">Habitat Degradation and Fragmentation Expansion of human settlement and agriculture, shifting cultivation, habitat degradation and destruction are the major threats to biodiversity in Bangladesh. For example, establishment of human settlement in and around the forest areas, human causalities, and crop raiding by the wild elephants are frequently occurring phenomena in Bangladesh which have resulted adverse public reactions to this mega species (IUCN Bangladesh, 2004). Most of the routes and corridors of elephants have been obstructed because of development activities (Figure 9). Destruction of natural habitats has been putting these large mammals at risk (Motaleb et al., 2011). </t>
        </r>
      </text>
    </comment>
    <comment ref="BL20" authorId="1">
      <text>
        <r>
          <rPr>
            <b/>
            <sz val="9"/>
            <color indexed="81"/>
            <rFont val="Tahoma"/>
            <family val="2"/>
          </rPr>
          <t>billy.tsekos:</t>
        </r>
        <r>
          <rPr>
            <sz val="9"/>
            <color indexed="81"/>
            <rFont val="Tahoma"/>
            <family val="2"/>
          </rPr>
          <t xml:space="preserve">
</t>
        </r>
        <r>
          <rPr>
            <b/>
            <sz val="9"/>
            <color indexed="81"/>
            <rFont val="Tahoma"/>
            <family val="2"/>
          </rPr>
          <t xml:space="preserve">NR-P.93: </t>
        </r>
        <r>
          <rPr>
            <sz val="9"/>
            <color indexed="81"/>
            <rFont val="Tahoma"/>
            <family val="2"/>
          </rPr>
          <t>Protected Areas, Ecologically Critical Areas and fish sanctuaries have been established; the drivers of degradation have not been addressed at its full range.</t>
        </r>
      </text>
    </comment>
    <comment ref="BP20"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
Carbon stock of 15 Protected Area including Sundarbans has been assessed 
More than 15% of the plain land forests have been restored.
Government has taken initiatives to restore the ecosystems of hill forests through massive enrichment plantation, natural regeneration and introduction of Social Forestry in the hilly districts of Bangladesh.</t>
        </r>
      </text>
    </comment>
    <comment ref="BX20" authorId="1">
      <text>
        <r>
          <rPr>
            <b/>
            <sz val="9"/>
            <color indexed="81"/>
            <rFont val="Tahoma"/>
            <family val="2"/>
          </rPr>
          <t>billy.tsekos:</t>
        </r>
        <r>
          <rPr>
            <sz val="9"/>
            <color indexed="81"/>
            <rFont val="Tahoma"/>
            <family val="2"/>
          </rPr>
          <t xml:space="preserve">
</t>
        </r>
        <r>
          <rPr>
            <b/>
            <sz val="9"/>
            <color indexed="81"/>
            <rFont val="Tahoma"/>
            <family val="2"/>
          </rPr>
          <t xml:space="preserve"> NR-P.9: </t>
        </r>
        <r>
          <rPr>
            <sz val="9"/>
            <color indexed="81"/>
            <rFont val="Tahoma"/>
            <family val="2"/>
          </rPr>
          <t xml:space="preserve">At present, most of the forest land in Madhupur has been denuded, degraded or  encroached upon or taken over for the commercial production of pineapples, bananas, the industrial plantation of rubber and exotic fuel-wood  species. Changes in soil properties due to deforestation have been reported in the Sal forests.
</t>
        </r>
        <r>
          <rPr>
            <b/>
            <sz val="9"/>
            <color indexed="81"/>
            <rFont val="Tahoma"/>
            <family val="2"/>
          </rPr>
          <t>NR-P.28:</t>
        </r>
        <r>
          <rPr>
            <sz val="9"/>
            <color indexed="81"/>
            <rFont val="Tahoma"/>
            <family val="2"/>
          </rPr>
          <t xml:space="preserve"> Boilam is a very tall resinous tree with a straight bole attaining a height of 30-45 metres and a girth of 3.0-4.5 metres. Deforestation and overexploitation significantly reduced the species in natural forests and at present at the highest risk of extinction. 
</t>
        </r>
        <r>
          <rPr>
            <b/>
            <sz val="9"/>
            <color indexed="81"/>
            <rFont val="Tahoma"/>
            <family val="2"/>
          </rPr>
          <t xml:space="preserve">NR-P.63: </t>
        </r>
        <r>
          <rPr>
            <sz val="9"/>
            <color indexed="81"/>
            <rFont val="Tahoma"/>
            <family val="2"/>
          </rPr>
          <t xml:space="preserve">Recent introduction and expansion of profit-driven tobacco cultivation have direct and indirect effects on the remaining natural ecosystem and traditional knowledge systems 
</t>
        </r>
      </text>
    </comment>
    <comment ref="CC20" authorId="1">
      <text>
        <r>
          <rPr>
            <b/>
            <sz val="9"/>
            <color indexed="81"/>
            <rFont val="Tahoma"/>
            <family val="2"/>
          </rPr>
          <t>billy.tsekos:</t>
        </r>
        <r>
          <rPr>
            <sz val="9"/>
            <color indexed="81"/>
            <rFont val="Tahoma"/>
            <family val="2"/>
          </rPr>
          <t xml:space="preserve">
</t>
        </r>
        <r>
          <rPr>
            <b/>
            <sz val="9"/>
            <color indexed="81"/>
            <rFont val="Tahoma"/>
            <family val="2"/>
          </rPr>
          <t xml:space="preserve">NR-P.94: </t>
        </r>
        <r>
          <rPr>
            <sz val="9"/>
            <color indexed="81"/>
            <rFont val="Tahoma"/>
            <family val="2"/>
          </rPr>
          <t>the drivers of degradation have not been addressed at its full range</t>
        </r>
      </text>
    </comment>
    <comment ref="CP20" authorId="1">
      <text>
        <r>
          <rPr>
            <b/>
            <sz val="9"/>
            <color indexed="81"/>
            <rFont val="Tahoma"/>
            <family val="2"/>
          </rPr>
          <t>billy.tsekos:</t>
        </r>
        <r>
          <rPr>
            <sz val="9"/>
            <color indexed="81"/>
            <rFont val="Tahoma"/>
            <family val="2"/>
          </rPr>
          <t xml:space="preserve">
</t>
        </r>
        <r>
          <rPr>
            <b/>
            <sz val="9"/>
            <color indexed="81"/>
            <rFont val="Tahoma"/>
            <family val="2"/>
          </rPr>
          <t>NR-P.66:</t>
        </r>
        <r>
          <rPr>
            <sz val="9"/>
            <color indexed="81"/>
            <rFont val="Tahoma"/>
            <family val="2"/>
          </rPr>
          <t xml:space="preserve"> Importance of Biodiversity and Ecosystems in Disaster Resilience</t>
        </r>
      </text>
    </comment>
    <comment ref="CQ20" authorId="1">
      <text>
        <r>
          <rPr>
            <b/>
            <sz val="9"/>
            <color indexed="81"/>
            <rFont val="Tahoma"/>
            <family val="2"/>
          </rPr>
          <t>billy.tsekos:</t>
        </r>
        <r>
          <rPr>
            <sz val="9"/>
            <color indexed="81"/>
            <rFont val="Tahoma"/>
            <family val="2"/>
          </rPr>
          <t xml:space="preserve">
</t>
        </r>
        <r>
          <rPr>
            <b/>
            <sz val="9"/>
            <color indexed="81"/>
            <rFont val="Tahoma"/>
            <family val="2"/>
          </rPr>
          <t>NR-P.6:</t>
        </r>
        <r>
          <rPr>
            <sz val="9"/>
            <color indexed="81"/>
            <rFont val="Tahoma"/>
            <family val="2"/>
          </rPr>
          <t xml:space="preserve"> In response to the degradation of natural forests and open woodlands, Bangladesh  Forest Department has taken comprehensive plantation programme in the form of social forestry coastal plantation and community forestry. During early 1980s, the Department with support from The World Bank organized massive plantation programme on the newly accreted islands at the buffer between the Bay  of Bengal and Ganges-Brahmaputra-Meghna region. The purpose of this plantation was to enhance tree cover to stabilize the land and make a green belt along the coast to minimize the adverse impacts of cyclonic storm and tidal surges. The social forestry added a new dimension to the forestry practice in Bangladesh having participation of local community and sharing benefits with the communities. In addition, plantation programme was implemented along the roads, highways, railways and river banks. Later on, the social forestry practices have been furthered by the NGOs and the local government organizations throughout the country.
Wetland ecosystem (e.g. haor) play a significant role in reduction of flash flood. The haors are large subsided lands that can hold the water from the flash flood. This is a major support function from the ecosystem. Another major regulatory function is the replenishment of groundwater table through these large water bodies. As an impact, these wetlands are thought also to work as a natural defense against droughts.
</t>
        </r>
        <r>
          <rPr>
            <b/>
            <sz val="9"/>
            <color indexed="81"/>
            <rFont val="Tahoma"/>
            <family val="2"/>
          </rPr>
          <t xml:space="preserve">
NR-P.58: </t>
        </r>
        <r>
          <rPr>
            <sz val="9"/>
            <color indexed="81"/>
            <rFont val="Tahoma"/>
            <family val="2"/>
          </rPr>
          <t>Bangladesh is one of the most vulnerable countries to global climate change. The consequences of the predicted climate change are likely to affect the coastal ecosystems including the Sundarbans as well as the agricultural lands adjacent to the coastal belts through increased sea level. Effects of global climate change are briefly described in Case Box 13.</t>
        </r>
      </text>
    </comment>
    <comment ref="CW20" authorId="1">
      <text>
        <r>
          <rPr>
            <b/>
            <sz val="9"/>
            <color indexed="81"/>
            <rFont val="Tahoma"/>
            <family val="2"/>
          </rPr>
          <t>billy.tsekos:</t>
        </r>
        <r>
          <rPr>
            <sz val="9"/>
            <color indexed="81"/>
            <rFont val="Tahoma"/>
            <family val="2"/>
          </rPr>
          <t xml:space="preserve">
</t>
        </r>
        <r>
          <rPr>
            <b/>
            <sz val="9"/>
            <color indexed="81"/>
            <rFont val="Tahoma"/>
            <family val="2"/>
          </rPr>
          <t>NR-P.95</t>
        </r>
        <r>
          <rPr>
            <sz val="9"/>
            <color indexed="81"/>
            <rFont val="Tahoma"/>
            <family val="2"/>
          </rPr>
          <t xml:space="preserve">: 38 forest PAs now cover 1.8% of the total area of the country and about 10.55% of the total forest area. 13 ECAs declared
in the wetlands areas covering 384,529 ha which is 2.60%
of the total country. The total marine protected area is 2,436
sq. km which is 2.05% of total marine area (118,813 sq. km)
of Bangladesh. </t>
        </r>
      </text>
    </comment>
    <comment ref="DA20" authorId="1">
      <text>
        <r>
          <rPr>
            <b/>
            <sz val="9"/>
            <color indexed="81"/>
            <rFont val="Tahoma"/>
            <family val="2"/>
          </rPr>
          <t>billy.tsekos:</t>
        </r>
        <r>
          <rPr>
            <sz val="9"/>
            <color indexed="81"/>
            <rFont val="Tahoma"/>
            <family val="2"/>
          </rPr>
          <t xml:space="preserve">
</t>
        </r>
        <r>
          <rPr>
            <b/>
            <sz val="9"/>
            <color indexed="81"/>
            <rFont val="Tahoma"/>
            <family val="2"/>
          </rPr>
          <t>NR-preface</t>
        </r>
        <r>
          <rPr>
            <sz val="9"/>
            <color indexed="81"/>
            <rFont val="Tahoma"/>
            <family val="2"/>
          </rPr>
          <t xml:space="preserve">:  The structure of the report is based on the Guidelines for the Biodiversity National Assessment 2015 published by the secretariat of CBD. The report has been prepared by the Department of Environment with the gracious support of the Global Environment Facility (GEF). </t>
        </r>
      </text>
    </comment>
    <comment ref="BA22" authorId="0">
      <text>
        <r>
          <rPr>
            <sz val="9"/>
            <color indexed="81"/>
            <rFont val="Tahoma"/>
            <family val="2"/>
          </rPr>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r>
      </text>
    </comment>
    <comment ref="ER22" authorId="0">
      <text>
        <r>
          <rPr>
            <b/>
            <sz val="9"/>
            <color indexed="81"/>
            <rFont val="Tahoma"/>
            <family val="2"/>
          </rPr>
          <t>NR- P.55:</t>
        </r>
        <r>
          <rPr>
            <sz val="9"/>
            <color indexed="81"/>
            <rFont val="Tahoma"/>
            <family val="2"/>
          </rPr>
          <t xml:space="preserve"> </t>
        </r>
        <r>
          <rPr>
            <b/>
            <sz val="9"/>
            <color indexed="81"/>
            <rFont val="Tahoma"/>
            <family val="2"/>
          </rPr>
          <t>ABCS Target 4:</t>
        </r>
        <r>
          <rPr>
            <sz val="9"/>
            <color indexed="81"/>
            <rFont val="Tahoma"/>
            <family val="2"/>
          </rPr>
          <t xml:space="preserve"> By 2015, achieve  a national increase of 600,000km2 of native habitat managed primarily for biodiversity conservation across terrestrial, aquatic and  marine environments.</t>
        </r>
      </text>
    </comment>
    <comment ref="ET22" authorId="1">
      <text>
        <r>
          <rPr>
            <b/>
            <sz val="9"/>
            <color indexed="81"/>
            <rFont val="Tahoma"/>
            <family val="2"/>
          </rPr>
          <t>billy.tsekos:</t>
        </r>
        <r>
          <rPr>
            <sz val="9"/>
            <color indexed="81"/>
            <rFont val="Tahoma"/>
            <family val="2"/>
          </rPr>
          <t xml:space="preserve">
</t>
        </r>
        <r>
          <rPr>
            <b/>
            <sz val="9"/>
            <color indexed="81"/>
            <rFont val="Tahoma"/>
            <family val="2"/>
          </rPr>
          <t xml:space="preserve">NR- P.27: ABCS Target 4: </t>
        </r>
        <r>
          <rPr>
            <sz val="9"/>
            <color indexed="81"/>
            <rFont val="Tahoma"/>
            <family val="2"/>
          </rPr>
          <t xml:space="preserve">By 2015, achieve a national increase of 600,000km2 of native habitat managed primarily for biodiversity conservation across terrestrial, aquatic and marine environments
</t>
        </r>
        <r>
          <rPr>
            <b/>
            <sz val="9"/>
            <color indexed="81"/>
            <rFont val="Tahoma"/>
            <family val="2"/>
          </rPr>
          <t>NR- P.27:</t>
        </r>
        <r>
          <rPr>
            <sz val="9"/>
            <color indexed="81"/>
            <rFont val="Tahoma"/>
            <family val="2"/>
          </rPr>
          <t xml:space="preserve"> </t>
        </r>
        <r>
          <rPr>
            <b/>
            <sz val="9"/>
            <color indexed="81"/>
            <rFont val="Tahoma"/>
            <family val="2"/>
          </rPr>
          <t>ABCS Target 5:</t>
        </r>
        <r>
          <rPr>
            <sz val="9"/>
            <color indexed="81"/>
            <rFont val="Tahoma"/>
            <family val="2"/>
          </rPr>
          <t xml:space="preserve"> By 2015, 1,000km2 of fragmented landscapes and aquatic systems are being restored to improve ecological connectivity.
</t>
        </r>
        <r>
          <rPr>
            <b/>
            <sz val="9"/>
            <color indexed="81"/>
            <rFont val="Tahoma"/>
            <family val="2"/>
          </rPr>
          <t>NR- P.27:</t>
        </r>
        <r>
          <rPr>
            <sz val="9"/>
            <color indexed="81"/>
            <rFont val="Tahoma"/>
            <family val="2"/>
          </rPr>
          <t xml:space="preserve"> </t>
        </r>
        <r>
          <rPr>
            <b/>
            <sz val="9"/>
            <color indexed="81"/>
            <rFont val="Tahoma"/>
            <family val="2"/>
          </rPr>
          <t xml:space="preserve">ABCS Target 6: </t>
        </r>
        <r>
          <rPr>
            <sz val="9"/>
            <color indexed="81"/>
            <rFont val="Tahoma"/>
            <family val="2"/>
          </rPr>
          <t>By 2015, four collaborative continental-scale linkages are established and managed to improve ecological connectivity.</t>
        </r>
      </text>
    </comment>
    <comment ref="BA23" authorId="0">
      <text>
        <r>
          <rPr>
            <sz val="9"/>
            <color indexed="81"/>
            <rFont val="Tahoma"/>
            <family val="2"/>
          </rPr>
          <t>Obj. 3 Maintain or restore biodiversity and ecosystem services in Belgium to a favourable conservation status (all operational objectives)</t>
        </r>
      </text>
    </comment>
    <comment ref="ER23" authorId="0">
      <text>
        <r>
          <rPr>
            <b/>
            <sz val="9"/>
            <color indexed="81"/>
            <rFont val="Tahoma"/>
            <family val="2"/>
          </rPr>
          <t xml:space="preserve">NR-P.65: </t>
        </r>
        <r>
          <rPr>
            <sz val="9"/>
            <color indexed="81"/>
            <rFont val="Tahoma"/>
            <family val="2"/>
          </rPr>
          <t xml:space="preserve">Significantly reduce the rate of loss of natural habitats, as well as their degradation and fragmentation, by 2020 
</t>
        </r>
      </text>
    </comment>
    <comment ref="ET23" authorId="0">
      <text>
        <r>
          <rPr>
            <b/>
            <sz val="9"/>
            <color indexed="81"/>
            <rFont val="Tahoma"/>
            <family val="2"/>
          </rPr>
          <t>NR-P.84:</t>
        </r>
        <r>
          <rPr>
            <sz val="9"/>
            <color indexed="81"/>
            <rFont val="Tahoma"/>
            <family val="2"/>
          </rPr>
          <t xml:space="preserve">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r>
      </text>
    </comment>
    <comment ref="Z24" authorId="0">
      <text>
        <r>
          <rPr>
            <b/>
            <sz val="9"/>
            <color indexed="81"/>
            <rFont val="Tahoma"/>
            <family val="2"/>
          </rPr>
          <t xml:space="preserve">forest cover maps 1980, 2010, 2014
p 15 table of forest cover 
</t>
        </r>
        <r>
          <rPr>
            <sz val="9"/>
            <color indexed="81"/>
            <rFont val="Tahoma"/>
            <family val="2"/>
          </rPr>
          <t xml:space="preserve">Year  Forest Cover (ha.)  Change/yr. (ha.)  % Change  % Forest Cover 
1980  1,648,783  -  -  74.4% 
1989  1,616,027  3,593  0.22%  72.9% 
1994  1,536,025  18,823  1.17%  69.3% 
2000  1,459,301  12,784  0.83%  65.8% 
2004  1,416,530  11,033  0.76%  63.9% 
2010  1,391,391  4,220  0.30%  62.8% 
2012  1,366,300  11,231  0.81%  61.6% 
2013  1,354,155  12,144  0.97%  61.1% </t>
        </r>
        <r>
          <rPr>
            <b/>
            <sz val="9"/>
            <color indexed="81"/>
            <rFont val="Tahoma"/>
            <family val="2"/>
          </rPr>
          <t xml:space="preserve">
Forest Cover 1980 – 2013 (Cherrington, 2013) 
Mangrove cover maps have been generated for 1980, 1989, 1994, 2000, 2004, and 2010; the last also included a national validation exercise of field visits, generating an estimated mangrove cover of 74,684 hectares.</t>
        </r>
      </text>
    </comment>
    <comment ref="AH24" authorId="0">
      <text>
        <r>
          <rPr>
            <sz val="9"/>
            <color indexed="81"/>
            <rFont val="Tahoma"/>
            <family val="2"/>
          </rPr>
          <t xml:space="preserve">the current rate of deforestation (0.97% in 2013) is increasing, and predicted to continue along this trend into the future. Most deforestation is occurring outside protected areas, except in transboundary areas.
With 61.1% of its forest cover intact, and with one of the lowest deforestation rates in Central America, Belize has been acting as a stronghold for Central American wildlife.The deforestation rate has, however, been significant, with forest cover falling from 74.4% of Belize’s land territory in 1980 to the current level of 61.1%. The deforestation rate has increased over the last two years (2012 and 2013), approaching 1% for 2013. Data from 2014 suggests that this rate of clearance has accelerated further, with a reduction to 60.3% forest cover (Cherrington, 2014).
</t>
        </r>
      </text>
    </comment>
    <comment ref="AO24" authorId="0">
      <text>
        <r>
          <rPr>
            <sz val="9"/>
            <color indexed="81"/>
            <rFont val="Tahoma"/>
            <family val="2"/>
          </rPr>
          <t>More than a third of all agricultural land in Belize is on acidic soils particularly sensitive to land degradation. A tenth is on steep slopes, and 4% of all agricultural land is located in areas at extreme risk of erosion in storm events (Meerman et al., 2005). Almost half of the countries soils overlie limestone, with issues of desiccation in dry season.
The National Land Use Policy takes into account the risk of land degradation, integrating soil quality and land degradation mapping into the Land Use Planning Mapping System (Meerman et al., 2011). The cross sectoral Policy and Plan, whilst being endorsed, is currently being revised, and implementation has not yet started.</t>
        </r>
      </text>
    </comment>
    <comment ref="BA24" authorId="0">
      <text>
        <r>
          <rPr>
            <sz val="9"/>
            <color indexed="81"/>
            <rFont val="Tahoma"/>
            <family val="2"/>
          </rPr>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r>
      </text>
    </comment>
    <comment ref="BL24" authorId="0">
      <text>
        <r>
          <rPr>
            <sz val="9"/>
            <color indexed="81"/>
            <rFont val="Tahoma"/>
            <family val="2"/>
          </rPr>
          <t>37% of the current forests of Belize are classified as primary – the most biodiverse and carbon-dense category of forest (UNEP, 2013). Deforestation accounted for the largest emission sources in Belize in the reference years (1994, 1997 and 2000), with Green House Gas (GHG) emissions increasing from 5,117 in 1994 to 7,253 (in 1997) to 9,088 Kt CO2e (in 2000) - a trend that is expected to continue (UNEP, 2013).
 Belize is able to play a mitigation function, and is estimated to be in a position to contribute over 1 million tons in CO2 emissions reductions per year if deforestation is avoided completely (UNEP, 2013).</t>
        </r>
      </text>
    </comment>
    <comment ref="BX24" authorId="0">
      <text>
        <r>
          <rPr>
            <b/>
            <sz val="9"/>
            <color indexed="81"/>
            <rFont val="Tahoma"/>
            <family val="2"/>
          </rPr>
          <t xml:space="preserve">1. </t>
        </r>
        <r>
          <rPr>
            <sz val="9"/>
            <color indexed="81"/>
            <rFont val="Tahoma"/>
            <family val="2"/>
          </rPr>
          <t xml:space="preserve">pages 28-30 contain a ranking of pressures using Extent*Impact*Permanence
</t>
        </r>
        <r>
          <rPr>
            <b/>
            <sz val="9"/>
            <color indexed="81"/>
            <rFont val="Tahoma"/>
            <family val="2"/>
          </rPr>
          <t xml:space="preserve">
2. </t>
        </r>
        <r>
          <rPr>
            <sz val="9"/>
            <color indexed="81"/>
            <rFont val="Tahoma"/>
            <family val="2"/>
          </rPr>
          <t>A recent risk assessment for mangroves suggests that whilst 30% of mangroves are at low risk from human stressors, 58% are at medium risk and 12% at high risk, with the highest incidence of impact on Ambergris Caye (CZMAI, 2013).</t>
        </r>
      </text>
    </comment>
    <comment ref="CC24" authorId="0">
      <text>
        <r>
          <rPr>
            <sz val="9"/>
            <color indexed="81"/>
            <rFont val="Tahoma"/>
            <family val="2"/>
          </rPr>
          <t>The Forest Department has identified a number of policy-based and incentive–based solutions for addressing Land Use Change (Forest Department, 2014)</t>
        </r>
        <r>
          <rPr>
            <b/>
            <sz val="9"/>
            <color indexed="81"/>
            <rFont val="Tahoma"/>
            <family val="2"/>
          </rPr>
          <t xml:space="preserve">:
See table of national policies/plans p 51
Specific actions for forests on p 57
</t>
        </r>
      </text>
    </comment>
    <comment ref="CH24" authorId="0">
      <text>
        <r>
          <rPr>
            <sz val="9"/>
            <color indexed="81"/>
            <rFont val="Tahoma"/>
            <family val="2"/>
          </rPr>
          <t>The development of Belize’s REDD+ strategy to support the global REDD initiative, and as a vehicle for achieving sustainable land use and improved forest management, with a reduction in emissions from deforestation and forest degradation, towards Belize’s sustainable development agenda - Horizon 2030. With support from the German Technical Co-operation (GIZ), Belize developed and presented its position on REDD+ in 2014.
 Acceptance of the REDD+ Readiness Preparation Proposal resulted in Belize entering the Forest Carbon Partnership Facility (FCPF), with allocation of funding to support Belize’s proposal, subject to signing of the REDD Country Participation Agreement between Belize and the Trustee of the Readiness Fund
The recent acceptance of Belize’s REDD+ submission to the FCPF opens up further incentives and opportunities for implementation of REDD strategies, to be managed under the Belize National Climate Change Committee. REDD+ is seen as a vehicle for achieving the goals and objectives of sustainable land use management and sustainable forest management, two tools towards sustainable development.</t>
        </r>
      </text>
    </comment>
    <comment ref="CP24" authorId="0">
      <text>
        <r>
          <rPr>
            <b/>
            <sz val="9"/>
            <color indexed="81"/>
            <rFont val="Tahoma"/>
            <family val="2"/>
          </rPr>
          <t>The NPAS Rationalization process assessed protected areas for their contribution towards Belize’s climate change resilience.</t>
        </r>
      </text>
    </comment>
    <comment ref="CQ24" authorId="0">
      <text>
        <r>
          <rPr>
            <b/>
            <sz val="9"/>
            <color indexed="81"/>
            <rFont val="Tahoma"/>
            <family val="2"/>
          </rPr>
          <t xml:space="preserve">Annex II not spatially explicit but per ecosystem
</t>
        </r>
        <r>
          <rPr>
            <sz val="9"/>
            <color indexed="81"/>
            <rFont val="Tahoma"/>
            <family val="2"/>
          </rPr>
          <t>The Belize Climate Change Adaptation Policy (2010) is directed at all government agencies that execute policies or provide services in sectors that will be impacted by global climate change including agriculture, coastal zone, energy, environment, fisheries, forestry, health, housing, local government, tourism, transportation, and water resources. Based on vulnerability assessments of major productive sectors, it mandates the various responsible Government agencies with preparing adaptation options (Annex 2).
A number of broad adaptation measures have been identified to help maintain the species diversity:
 Maintaining large blocks of forest cover, with priority given to the primary forest nodes, to buffer against climate change impacts and continue providing water security
 Maintaining lateral connectivity to facilitate ecosystem migration southwards, with priority given to the three primary corridors
 Maintaining altitudinal connectivity to facilitate ecosystem migration up altitudinal gradients
 Maintaining forest cover where feasible in the lowlands of the southern coastal plain to provide conditions conducive for orographic rainfall
 Maintaining the integrity of coastal mangrove systems, to protect coastlines from erosion
 Managing post-hurricane fire risk with effective planning and fire management</t>
        </r>
      </text>
    </comment>
    <comment ref="CV24" authorId="0">
      <text>
        <r>
          <rPr>
            <sz val="9"/>
            <color indexed="81"/>
            <rFont val="Tahoma"/>
            <family val="2"/>
          </rPr>
          <t>While desertification may not be nationally significant, the issues of land degradation and drought are relevant to Belize’s management of its natural resource base. Belize’s accede to the United Nations’ Convention to Combat Desertification in 1998. In Belize, the main forms of land degradation treated in the Convention result from a number of causes including (but possibly not limited to):
 deforestation and other land cover conversions
 farming on marginal lands including acidic soils
 farming on steep slopes
 fire
 growth and expansion of human settlements
 invasive species
 overgrazing of livestock
 logging
 surface mining</t>
        </r>
      </text>
    </comment>
    <comment ref="CW24" authorId="0">
      <text>
        <r>
          <rPr>
            <sz val="9"/>
            <color indexed="81"/>
            <rFont val="Tahoma"/>
            <family val="2"/>
          </rPr>
          <t>Of the 1.35 million hectares of forest cover that remains, approximately two thirds lies within the National Protected Areas System. It is agreed that in general, the protected areas are maintaining their forest cover and ecosystem functionality. However, there are some key areas where incursions are occurring inside the protected area boundaries, with an 8.4% decrease in forest cover since 2010 (Cherrington, 2014).</t>
        </r>
      </text>
    </comment>
    <comment ref="ER24" authorId="0">
      <text>
        <r>
          <rPr>
            <b/>
            <sz val="9"/>
            <color indexed="81"/>
            <rFont val="Tahoma"/>
            <family val="2"/>
          </rPr>
          <t>Billy Tsekos:
(NBSAP-P.51)</t>
        </r>
        <r>
          <rPr>
            <sz val="9"/>
            <color indexed="81"/>
            <rFont val="Tahoma"/>
            <family val="2"/>
          </rPr>
          <t xml:space="preserve">
</t>
        </r>
        <r>
          <rPr>
            <b/>
            <sz val="9"/>
            <color indexed="81"/>
            <rFont val="Tahoma"/>
            <family val="2"/>
          </rPr>
          <t xml:space="preserve">Target 5.1: </t>
        </r>
        <r>
          <rPr>
            <sz val="9"/>
            <color indexed="81"/>
            <rFont val="Tahoma"/>
            <family val="2"/>
          </rPr>
          <t xml:space="preserve"> By 2020, at least 10% of DMDF and mangrove forest has been put under some form of protection, including sustainable use and management. 
</t>
        </r>
        <r>
          <rPr>
            <b/>
            <sz val="9"/>
            <color indexed="81"/>
            <rFont val="Tahoma"/>
            <family val="2"/>
          </rPr>
          <t>Target 5.2:</t>
        </r>
        <r>
          <rPr>
            <sz val="9"/>
            <color indexed="81"/>
            <rFont val="Tahoma"/>
            <family val="2"/>
          </rPr>
          <t xml:space="preserve">  By 2018, the PFE will have been re-assessed. 
</t>
        </r>
        <r>
          <rPr>
            <b/>
            <sz val="9"/>
            <color indexed="81"/>
            <rFont val="Tahoma"/>
            <family val="2"/>
          </rPr>
          <t>Target 5.3:</t>
        </r>
        <r>
          <rPr>
            <sz val="9"/>
            <color indexed="81"/>
            <rFont val="Tahoma"/>
            <family val="2"/>
          </rPr>
          <t xml:space="preserve">  By 2020, all wetland areas surveyed and prioritized for conservation value. 
</t>
        </r>
        <r>
          <rPr>
            <b/>
            <sz val="9"/>
            <color indexed="81"/>
            <rFont val="Tahoma"/>
            <family val="2"/>
          </rPr>
          <t>Target 5.4:</t>
        </r>
        <r>
          <rPr>
            <sz val="9"/>
            <color indexed="81"/>
            <rFont val="Tahoma"/>
            <family val="2"/>
          </rPr>
          <t xml:space="preserve">  By 2020, all wetland areas surveyed and prioritized for conservation value. 
</t>
        </r>
        <r>
          <rPr>
            <b/>
            <sz val="9"/>
            <color indexed="81"/>
            <rFont val="Tahoma"/>
            <family val="2"/>
          </rPr>
          <t xml:space="preserve">Target 5.5: </t>
        </r>
        <r>
          <rPr>
            <sz val="9"/>
            <color indexed="81"/>
            <rFont val="Tahoma"/>
            <family val="2"/>
          </rPr>
          <t xml:space="preserve">By 2020, negotiation phase to sign Forest Law Enforcement Governance and Trade (FLEGT) and Voluntary Partnership Agreement{VPA ) a FLEGT VPA has been conducted.
</t>
        </r>
      </text>
    </comment>
    <comment ref="ET24" authorId="1">
      <text>
        <r>
          <rPr>
            <b/>
            <sz val="9"/>
            <color indexed="81"/>
            <rFont val="Tahoma"/>
            <family val="2"/>
          </rPr>
          <t>billy.tsekos:</t>
        </r>
        <r>
          <rPr>
            <sz val="9"/>
            <color indexed="81"/>
            <rFont val="Tahoma"/>
            <family val="2"/>
          </rPr>
          <t xml:space="preserve">
</t>
        </r>
        <r>
          <rPr>
            <b/>
            <sz val="9"/>
            <color indexed="81"/>
            <rFont val="Tahoma"/>
            <family val="2"/>
          </rPr>
          <t>NBSAP-P.99:</t>
        </r>
        <r>
          <rPr>
            <sz val="9"/>
            <color indexed="81"/>
            <rFont val="Tahoma"/>
            <family val="2"/>
          </rPr>
          <t xml:space="preserve">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r>
      </text>
    </comment>
    <comment ref="H25" authorId="2">
      <text>
        <r>
          <rPr>
            <b/>
            <sz val="9"/>
            <color indexed="81"/>
            <rFont val="Calibri"/>
            <family val="2"/>
          </rPr>
          <t>Billy Tsekos:</t>
        </r>
        <r>
          <rPr>
            <sz val="9"/>
            <color indexed="81"/>
            <rFont val="Calibri"/>
            <family val="2"/>
          </rPr>
          <t xml:space="preserve">
2016</t>
        </r>
      </text>
    </comment>
    <comment ref="W25" authorId="2">
      <text>
        <r>
          <rPr>
            <b/>
            <sz val="9"/>
            <color indexed="81"/>
            <rFont val="Tahoma"/>
            <family val="2"/>
          </rPr>
          <t>Billy Tsekos:</t>
        </r>
        <r>
          <rPr>
            <sz val="9"/>
            <color indexed="81"/>
            <rFont val="Tahoma"/>
            <family val="2"/>
          </rPr>
          <t xml:space="preserve">
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
idnetifying the capacity needs for Biodiversity considerations are given </t>
        </r>
      </text>
    </comment>
    <comment ref="Z25" authorId="2">
      <text>
        <r>
          <rPr>
            <b/>
            <sz val="9"/>
            <color indexed="81"/>
            <rFont val="Tahoma"/>
            <family val="2"/>
          </rPr>
          <t>Billy Tsekos:</t>
        </r>
        <r>
          <rPr>
            <sz val="9"/>
            <color indexed="81"/>
            <rFont val="Tahoma"/>
            <family val="2"/>
          </rPr>
          <t xml:space="preserve">
</t>
        </r>
        <r>
          <rPr>
            <b/>
            <sz val="9"/>
            <color indexed="81"/>
            <rFont val="Tahoma"/>
            <family val="2"/>
          </rPr>
          <t>NBSAP- P. 106:</t>
        </r>
        <r>
          <rPr>
            <sz val="9"/>
            <color indexed="81"/>
            <rFont val="Tahoma"/>
            <family val="2"/>
          </rPr>
          <t xml:space="preserve">
Superficie et proportion des unités d’occupation du sol au Bénin.</t>
        </r>
      </text>
    </comment>
    <comment ref="AH25" authorId="2">
      <text>
        <r>
          <rPr>
            <b/>
            <sz val="9"/>
            <color indexed="81"/>
            <rFont val="Tahoma"/>
            <family val="2"/>
          </rPr>
          <t>Billy Tsekos:</t>
        </r>
        <r>
          <rPr>
            <sz val="9"/>
            <color indexed="81"/>
            <rFont val="Tahoma"/>
            <family val="2"/>
          </rPr>
          <t xml:space="preserve">
</t>
        </r>
        <r>
          <rPr>
            <b/>
            <sz val="9"/>
            <color indexed="81"/>
            <rFont val="Tahoma"/>
            <family val="2"/>
          </rPr>
          <t xml:space="preserve">NBSAP- P. 7: </t>
        </r>
        <r>
          <rPr>
            <sz val="9"/>
            <color indexed="81"/>
            <rFont val="Tahoma"/>
            <family val="2"/>
          </rPr>
          <t xml:space="preserve">Le Bénin est caractérisé par une flore qui varie suivant le gradient climatique. Ses forêts, couvrent </t>
        </r>
        <r>
          <rPr>
            <b/>
            <sz val="9"/>
            <color indexed="81"/>
            <rFont val="Tahoma"/>
            <family val="2"/>
          </rPr>
          <t xml:space="preserve">68 % </t>
        </r>
        <r>
          <rPr>
            <sz val="9"/>
            <color indexed="81"/>
            <rFont val="Tahoma"/>
            <family val="2"/>
          </rPr>
          <t xml:space="preserve">de la superficie totale.
</t>
        </r>
        <r>
          <rPr>
            <b/>
            <sz val="9"/>
            <color indexed="81"/>
            <rFont val="Tahoma"/>
            <family val="2"/>
          </rPr>
          <t>NBSAP- P. 7:</t>
        </r>
        <r>
          <rPr>
            <sz val="9"/>
            <color indexed="81"/>
            <rFont val="Tahoma"/>
            <family val="2"/>
          </rPr>
          <t xml:space="preserve"> Les formations végétales
</t>
        </r>
        <r>
          <rPr>
            <b/>
            <sz val="9"/>
            <color indexed="81"/>
            <rFont val="Tahoma"/>
            <family val="2"/>
          </rPr>
          <t>NBSAP- P. 11:</t>
        </r>
        <r>
          <rPr>
            <sz val="9"/>
            <color indexed="81"/>
            <rFont val="Tahoma"/>
            <family val="2"/>
          </rPr>
          <t xml:space="preserve"> Dynamique de l’occupation du sol et de l’utilisation des terres au Bénin de 1998 à 2007
</t>
        </r>
        <r>
          <rPr>
            <b/>
            <sz val="9"/>
            <color indexed="81"/>
            <rFont val="Tahoma"/>
            <family val="2"/>
          </rPr>
          <t xml:space="preserve">
NBSAP- P. 15: </t>
        </r>
        <r>
          <rPr>
            <sz val="9"/>
            <color indexed="81"/>
            <rFont val="Tahoma"/>
            <family val="2"/>
          </rPr>
          <t xml:space="preserve">Tendance des superficies reboisées au Bénin de 2002 à 2012
</t>
        </r>
        <r>
          <rPr>
            <b/>
            <sz val="9"/>
            <color indexed="81"/>
            <rFont val="Tahoma"/>
            <family val="2"/>
          </rPr>
          <t xml:space="preserve"> </t>
        </r>
      </text>
    </comment>
    <comment ref="BA25" authorId="2">
      <text>
        <r>
          <rPr>
            <b/>
            <sz val="9"/>
            <color indexed="81"/>
            <rFont val="Tahoma"/>
            <family val="2"/>
          </rPr>
          <t>Billy Tsekos:</t>
        </r>
        <r>
          <rPr>
            <sz val="9"/>
            <color indexed="81"/>
            <rFont val="Tahoma"/>
            <family val="2"/>
          </rPr>
          <t xml:space="preserve">
</t>
        </r>
        <r>
          <rPr>
            <b/>
            <sz val="9"/>
            <color indexed="81"/>
            <rFont val="Tahoma"/>
            <family val="2"/>
          </rPr>
          <t xml:space="preserve">NBSAP- P.47:
</t>
        </r>
        <r>
          <rPr>
            <sz val="9"/>
            <color indexed="81"/>
            <rFont val="Tahoma"/>
            <family val="2"/>
          </rPr>
          <t xml:space="preserve">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r>
      </text>
    </comment>
    <comment ref="BD25" authorId="2">
      <text>
        <r>
          <rPr>
            <b/>
            <sz val="9"/>
            <color indexed="81"/>
            <rFont val="Tahoma"/>
            <family val="2"/>
          </rPr>
          <t>Billy Tsekos:</t>
        </r>
        <r>
          <rPr>
            <sz val="9"/>
            <color indexed="81"/>
            <rFont val="Tahoma"/>
            <family val="2"/>
          </rPr>
          <t xml:space="preserve">
2020</t>
        </r>
      </text>
    </comment>
    <comment ref="BF25" authorId="2">
      <text>
        <r>
          <rPr>
            <b/>
            <sz val="9"/>
            <color indexed="81"/>
            <rFont val="Tahoma"/>
            <family val="2"/>
          </rPr>
          <t>Billy Tsekos:</t>
        </r>
        <r>
          <rPr>
            <sz val="9"/>
            <color indexed="81"/>
            <rFont val="Tahoma"/>
            <family val="2"/>
          </rPr>
          <t xml:space="preserve">
</t>
        </r>
        <r>
          <rPr>
            <sz val="9"/>
            <color indexed="81"/>
            <rFont val="Tahoma"/>
            <family val="2"/>
          </rPr>
          <t xml:space="preserve">
Actions highlighted on NBSAP- P.75.</t>
        </r>
      </text>
    </comment>
    <comment ref="BH25" authorId="2">
      <text>
        <r>
          <rPr>
            <b/>
            <sz val="9"/>
            <color indexed="81"/>
            <rFont val="Tahoma"/>
            <family val="2"/>
          </rPr>
          <t>Billy Tsekos:</t>
        </r>
        <r>
          <rPr>
            <sz val="9"/>
            <color indexed="81"/>
            <rFont val="Tahoma"/>
            <family val="2"/>
          </rPr>
          <t xml:space="preserve">
</t>
        </r>
        <r>
          <rPr>
            <b/>
            <sz val="9"/>
            <color indexed="81"/>
            <rFont val="Tahoma"/>
            <family val="2"/>
          </rPr>
          <t>NBSAP-P. 8</t>
        </r>
        <r>
          <rPr>
            <sz val="9"/>
            <color indexed="81"/>
            <rFont val="Tahoma"/>
            <family val="2"/>
          </rPr>
          <t xml:space="preserve">: En dehors des parcs nationaux et des zones cynégétiques qui sont dans un état de conservation plus favorable à la conservation de la diversité biologique, les forêts classées sont très peu suivies Excepté celle de la Lama qui fait l’objet d’attention particulière pour inverser le fort degré de fragmentation qu’elle avait subi avant 1980. </t>
        </r>
      </text>
    </comment>
    <comment ref="BI25" authorId="2">
      <text>
        <r>
          <rPr>
            <b/>
            <sz val="9"/>
            <color indexed="81"/>
            <rFont val="Tahoma"/>
            <family val="2"/>
          </rPr>
          <t>Billy Tsekos:</t>
        </r>
        <r>
          <rPr>
            <sz val="9"/>
            <color indexed="81"/>
            <rFont val="Tahoma"/>
            <family val="2"/>
          </rPr>
          <t xml:space="preserve">
</t>
        </r>
        <r>
          <rPr>
            <b/>
            <sz val="9"/>
            <color indexed="81"/>
            <rFont val="Tahoma"/>
            <family val="2"/>
          </rPr>
          <t>NBSAP- P.90:</t>
        </r>
        <r>
          <rPr>
            <sz val="9"/>
            <color indexed="81"/>
            <rFont val="Tahoma"/>
            <family val="2"/>
          </rPr>
          <t xml:space="preserve">
</t>
        </r>
        <r>
          <rPr>
            <b/>
            <sz val="9"/>
            <color indexed="81"/>
            <rFont val="Tahoma"/>
            <family val="2"/>
          </rPr>
          <t>Objective 16:</t>
        </r>
        <r>
          <rPr>
            <sz val="9"/>
            <color indexed="81"/>
            <rFont val="Tahoma"/>
            <family val="2"/>
          </rPr>
          <t xml:space="preserve">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-D’ici à 2020, la résilience des écosystèmes et la contribution de la diversité
biologique aux stocks de carbone auront été améliorées
</t>
        </r>
      </text>
    </comment>
    <comment ref="BL25" authorId="2">
      <text>
        <r>
          <rPr>
            <b/>
            <sz val="9"/>
            <color indexed="81"/>
            <rFont val="Tahoma"/>
            <family val="2"/>
          </rPr>
          <t xml:space="preserve">Billy Tsekos:
NBSAP-P25:
</t>
        </r>
        <r>
          <rPr>
            <sz val="9"/>
            <color indexed="81"/>
            <rFont val="Tahoma"/>
            <family val="2"/>
          </rPr>
          <t xml:space="preserve">
- Conserver les espaces forestiers fragiles aux fins des services écosystémiques en particulier la séquestration de carbone, le  PFNL, etc.
- Inclure la valeur des services fournis par les écosystèmes dans les outils de gestion et conservation des habitats naturels</t>
        </r>
      </text>
    </comment>
    <comment ref="BP25" authorId="2">
      <text>
        <r>
          <rPr>
            <b/>
            <sz val="9"/>
            <color indexed="81"/>
            <rFont val="Tahoma"/>
            <family val="2"/>
          </rPr>
          <t xml:space="preserve">Billy Tsekos:
</t>
        </r>
        <r>
          <rPr>
            <sz val="9"/>
            <color indexed="81"/>
            <rFont val="Tahoma"/>
            <family val="2"/>
          </rPr>
          <t xml:space="preserve">
</t>
        </r>
        <r>
          <rPr>
            <b/>
            <sz val="9"/>
            <color indexed="81"/>
            <rFont val="Tahoma"/>
            <family val="2"/>
          </rPr>
          <t>NBSAP-P.25:</t>
        </r>
        <r>
          <rPr>
            <sz val="9"/>
            <color indexed="81"/>
            <rFont val="Tahoma"/>
            <family val="2"/>
          </rPr>
          <t xml:space="preserve"> Restaurer les habitats dégradés à travers le reboisement et l’enrichissement en intégrant les espèces autochtones.
</t>
        </r>
        <r>
          <rPr>
            <b/>
            <sz val="9"/>
            <color indexed="81"/>
            <rFont val="Tahoma"/>
            <family val="2"/>
          </rPr>
          <t>NR- P.86:</t>
        </r>
        <r>
          <rPr>
            <sz val="9"/>
            <color indexed="81"/>
            <rFont val="Tahoma"/>
            <family val="2"/>
          </rPr>
          <t xml:space="preserve"> Plusieurs actions sont menées par le gouvernement du Bénin pour atteindre l’objectif 15 d’Aïchi. C’est dans ce cadre que depuis 2009, une attention particulière est mise sur les activités de restauration et de reboisement dans le cadre de plusieurs projets/programmes (PAGEFCOM, PAMF, ProCGRN, PGFTR, MRB, PBF II, etc.) en vue d’accroître le couvert forestier. Le Bénin à travers l’appuie du PNUD a lancé récemment un projet dénommé 10 millions d’âmes, 10 millions d’arbres qui se déroulera sur toute l’étendue du territoire nationale dont le but étant d’atténuer les effets des changements climatiques mais aussi de lutter contre la désertification tout en protégeant la biodiversité de protéger la biodiversité... 
</t>
        </r>
        <r>
          <rPr>
            <b/>
            <sz val="9"/>
            <color indexed="81"/>
            <rFont val="Tahoma"/>
            <family val="2"/>
          </rPr>
          <t xml:space="preserve">
NR- P.28:</t>
        </r>
        <r>
          <rPr>
            <sz val="9"/>
            <color indexed="81"/>
            <rFont val="Tahoma"/>
            <family val="2"/>
          </rPr>
          <t xml:space="preserve"> Le Gouvernement avait aussi envisagé de mettre en œuvre un programme national de reboisement qui
tiendrait compte des différentes zones agroécologiques du pays
</t>
        </r>
        <r>
          <rPr>
            <b/>
            <sz val="9"/>
            <color indexed="81"/>
            <rFont val="Tahoma"/>
            <family val="2"/>
          </rPr>
          <t xml:space="preserve">
NR- P.30:</t>
        </r>
        <r>
          <rPr>
            <sz val="9"/>
            <color indexed="81"/>
            <rFont val="Tahoma"/>
            <family val="2"/>
          </rPr>
          <t xml:space="preserve"> Programme Spécial de Reboisement et de Restauration des Terres (PSRRT)</t>
        </r>
      </text>
    </comment>
    <comment ref="BT25" authorId="2">
      <text>
        <r>
          <rPr>
            <b/>
            <sz val="9"/>
            <color indexed="81"/>
            <rFont val="Tahoma"/>
            <family val="2"/>
          </rPr>
          <t>Billy Tsekos:</t>
        </r>
        <r>
          <rPr>
            <sz val="9"/>
            <color indexed="81"/>
            <rFont val="Tahoma"/>
            <family val="2"/>
          </rPr>
          <t xml:space="preserve">
</t>
        </r>
        <r>
          <rPr>
            <b/>
            <sz val="9"/>
            <color indexed="81"/>
            <rFont val="Tahoma"/>
            <family val="2"/>
          </rPr>
          <t>NBSAP- P.15:</t>
        </r>
        <r>
          <rPr>
            <sz val="9"/>
            <color indexed="81"/>
            <rFont val="Tahoma"/>
            <family val="2"/>
          </rPr>
          <t xml:space="preserve"> Tendance des superficies reboisées au Bénin de 2002 à 2012</t>
        </r>
      </text>
    </comment>
    <comment ref="BX25" authorId="2">
      <text>
        <r>
          <rPr>
            <b/>
            <sz val="9"/>
            <color indexed="81"/>
            <rFont val="Tahoma"/>
            <family val="2"/>
          </rPr>
          <t xml:space="preserve">Billy Tsekos:
NBSAP- P.23: </t>
        </r>
        <r>
          <rPr>
            <sz val="9"/>
            <color indexed="81"/>
            <rFont val="Tahoma"/>
            <family val="2"/>
          </rPr>
          <t>L’agriculture a été identifiée comme l’un des facteurs le plus important de la perte de la biodiversité au Bénin.</t>
        </r>
        <r>
          <rPr>
            <b/>
            <sz val="9"/>
            <color indexed="81"/>
            <rFont val="Tahoma"/>
            <family val="2"/>
          </rPr>
          <t xml:space="preserve">
NBSAP- P.20: </t>
        </r>
        <r>
          <rPr>
            <u/>
            <sz val="9"/>
            <color indexed="81"/>
            <rFont val="Tahoma"/>
            <family val="2"/>
          </rPr>
          <t xml:space="preserve">Ecosystèmes forestiers
</t>
        </r>
        <r>
          <rPr>
            <sz val="9"/>
            <color indexed="81"/>
            <rFont val="Tahoma"/>
            <family val="2"/>
          </rPr>
          <t xml:space="preserve">
(i) utilisation du bois et du charbon de bois pour la cuisson,
(ii) demande de bois pour la construction et le mobilier,
(iii) agriculture extensive/itinérante sur brûlis,
(iv) coupe non contrôlée de bois, 
(v) feux de brousse incontrôlés
</t>
        </r>
        <r>
          <rPr>
            <u/>
            <sz val="9"/>
            <color indexed="81"/>
            <rFont val="Tahoma"/>
            <family val="2"/>
          </rPr>
          <t xml:space="preserve">
Causes sous-jacentes</t>
        </r>
        <r>
          <rPr>
            <sz val="9"/>
            <color indexed="81"/>
            <rFont val="Tahoma"/>
            <family val="2"/>
          </rPr>
          <t xml:space="preserve">
Faiblesse des revenus des ménages, surtout en milieu rural
</t>
        </r>
        <r>
          <rPr>
            <u/>
            <sz val="9"/>
            <color indexed="81"/>
            <rFont val="Tahoma"/>
            <family val="2"/>
          </rPr>
          <t>Causes structurelles</t>
        </r>
        <r>
          <rPr>
            <sz val="9"/>
            <color indexed="81"/>
            <rFont val="Tahoma"/>
            <family val="2"/>
          </rPr>
          <t xml:space="preserve">
(i) Faiblesse de la recherche scientifique
(ii) Absence de structures opérationnelles chargées de recherche et de promotion des alternatives</t>
        </r>
      </text>
    </comment>
    <comment ref="CH25" authorId="2">
      <text>
        <r>
          <rPr>
            <b/>
            <sz val="9"/>
            <color indexed="81"/>
            <rFont val="Tahoma"/>
            <family val="2"/>
          </rPr>
          <t>Billy Tsekos:</t>
        </r>
        <r>
          <rPr>
            <sz val="9"/>
            <color indexed="81"/>
            <rFont val="Tahoma"/>
            <family val="2"/>
          </rPr>
          <t xml:space="preserve">
</t>
        </r>
        <r>
          <rPr>
            <b/>
            <sz val="9"/>
            <color indexed="81"/>
            <rFont val="Tahoma"/>
            <family val="2"/>
          </rPr>
          <t xml:space="preserve">NBSAP- p.92: </t>
        </r>
        <r>
          <rPr>
            <sz val="9"/>
            <color indexed="81"/>
            <rFont val="Tahoma"/>
            <family val="2"/>
          </rPr>
          <t xml:space="preserve">Mettre en œuvre des mécanismes de REDD par la modélisation des changements du couvert forestier (identification des causes de la déforestation et la prédiction des changements futurs) </t>
        </r>
      </text>
    </comment>
    <comment ref="CP25" authorId="2">
      <text>
        <r>
          <rPr>
            <b/>
            <sz val="9"/>
            <color indexed="81"/>
            <rFont val="Tahoma"/>
            <family val="2"/>
          </rPr>
          <t>Billy Tsekos:</t>
        </r>
        <r>
          <rPr>
            <sz val="9"/>
            <color indexed="81"/>
            <rFont val="Tahoma"/>
            <family val="2"/>
          </rPr>
          <t xml:space="preserve">
</t>
        </r>
        <r>
          <rPr>
            <b/>
            <sz val="9"/>
            <color indexed="81"/>
            <rFont val="Tahoma"/>
            <family val="2"/>
          </rPr>
          <t xml:space="preserve">NBSAP-P.50: 
</t>
        </r>
        <r>
          <rPr>
            <sz val="9"/>
            <color indexed="81"/>
            <rFont val="Tahoma"/>
            <family val="2"/>
          </rPr>
          <t xml:space="preserve">
D’ici à fin 2014, une stratégie nationale pour l’augmentation de la contribution de la BD à la résilience des écosystèmes et au stockage du carbone a été formulée.
D’ici à 2020, la résilience des écosystèmes et la contribution de la diversité biologique aux stocks de carbone auront été améliorées</t>
        </r>
      </text>
    </comment>
    <comment ref="CQ25" authorId="2">
      <text>
        <r>
          <rPr>
            <b/>
            <sz val="9"/>
            <color indexed="81"/>
            <rFont val="Tahoma"/>
            <family val="2"/>
          </rPr>
          <t>Billy Tsekos:</t>
        </r>
        <r>
          <rPr>
            <sz val="9"/>
            <color indexed="81"/>
            <rFont val="Tahoma"/>
            <family val="2"/>
          </rPr>
          <t xml:space="preserve">
</t>
        </r>
        <r>
          <rPr>
            <b/>
            <sz val="9"/>
            <color indexed="81"/>
            <rFont val="Tahoma"/>
            <family val="2"/>
          </rPr>
          <t>NBSAP - P.59: (conclusions from 2002 NBSAP)</t>
        </r>
        <r>
          <rPr>
            <sz val="9"/>
            <color indexed="81"/>
            <rFont val="Tahoma"/>
            <family val="2"/>
          </rPr>
          <t xml:space="preserve"> Rechercher les solutions pour contrer les effets négatifs des changements climatiques en termes de capacités d’adaptation des communautés et de pratiques de gestion de la biodiversité forestière.
</t>
        </r>
        <r>
          <rPr>
            <b/>
            <sz val="9"/>
            <color indexed="81"/>
            <rFont val="Tahoma"/>
            <family val="2"/>
          </rPr>
          <t>NBSAP - P.104:</t>
        </r>
        <r>
          <rPr>
            <sz val="9"/>
            <color indexed="81"/>
            <rFont val="Tahoma"/>
            <family val="2"/>
          </rPr>
          <t xml:space="preserve"> Action pour la réduction de la menace que constituent les effets pervers des changements climatiques...
</t>
        </r>
        <r>
          <rPr>
            <b/>
            <sz val="9"/>
            <color indexed="81"/>
            <rFont val="Tahoma"/>
            <family val="2"/>
          </rPr>
          <t>NBSAP - P.48:</t>
        </r>
        <r>
          <rPr>
            <sz val="9"/>
            <color indexed="81"/>
            <rFont val="Tahoma"/>
            <family val="2"/>
          </rPr>
          <t xml:space="preserve">  D’ici à 2015, le niveau actuel d’intégrité et de fonctionnement des écosystèmes vulnérables est connu</t>
        </r>
      </text>
    </comment>
    <comment ref="CW25" authorId="2">
      <text>
        <r>
          <rPr>
            <b/>
            <sz val="9"/>
            <color indexed="81"/>
            <rFont val="Tahoma"/>
            <family val="2"/>
          </rPr>
          <t>Billy Tsekos:</t>
        </r>
        <r>
          <rPr>
            <sz val="9"/>
            <color indexed="81"/>
            <rFont val="Tahoma"/>
            <family val="2"/>
          </rPr>
          <t xml:space="preserve">
Although there is a lot of information on overall area of PAs. There is no area infomration regarding loss, degradation or increase.
</t>
        </r>
        <r>
          <rPr>
            <b/>
            <sz val="9"/>
            <color indexed="81"/>
            <rFont val="Tahoma"/>
            <family val="2"/>
          </rPr>
          <t xml:space="preserve">NR- P.34: </t>
        </r>
        <r>
          <rPr>
            <sz val="9"/>
            <color indexed="81"/>
            <rFont val="Tahoma"/>
            <family val="2"/>
          </rPr>
          <t>Le</t>
        </r>
        <r>
          <rPr>
            <b/>
            <sz val="9"/>
            <color indexed="81"/>
            <rFont val="Tahoma"/>
            <family val="2"/>
          </rPr>
          <t xml:space="preserve"> </t>
        </r>
        <r>
          <rPr>
            <sz val="9"/>
            <color indexed="81"/>
            <rFont val="Tahoma"/>
            <family val="2"/>
          </rPr>
          <t>phénomène de la transhumance est perçue comme l’une des menaces les plus récurrentes dans les aires protégées du Bénin.</t>
        </r>
      </text>
    </comment>
    <comment ref="DG25" authorId="3">
      <text>
        <r>
          <rPr>
            <b/>
            <sz val="10"/>
            <color indexed="81"/>
            <rFont val="Calibri"/>
          </rPr>
          <t>Microsoft Office User:</t>
        </r>
        <r>
          <rPr>
            <sz val="10"/>
            <color indexed="81"/>
            <rFont val="Calibri"/>
          </rPr>
          <t xml:space="preserve">
Les efforts d’amélioration des itinéraires techniques visant la limitation de la fermentation méthanique et des émanations d’oxyde nitreux dues à la nitrification/dénitrification dans les systèmes de culture permettraient d’éviter les émissions cumulées de ces gaz à hauteur d’environ 20,9 Mt E CO2 par rapport au scénario de maintien du statu quo, soit une réduction de 20,6 % d’ici 2030 (contribution conditionnelle).</t>
        </r>
      </text>
    </comment>
    <comment ref="DH25" authorId="3">
      <text>
        <r>
          <rPr>
            <b/>
            <sz val="10"/>
            <color indexed="81"/>
            <rFont val="Calibri"/>
          </rPr>
          <t>Microsoft Office User:</t>
        </r>
        <r>
          <rPr>
            <sz val="10"/>
            <color indexed="81"/>
            <rFont val="Calibri"/>
          </rPr>
          <t xml:space="preserve">
- réduction des émissions cumulées dues au secteur UTCAFT pendant la période 2021-2030 de 22 Mt E CO2 par rapport au scénario maintien du statu quo à travers la réduction du taux annuel de déforestation de 5.000 ha/an.
- augmentation de la séquestration du carbone cumulée des forêts naturelles pendant la période 2021-2030 de 12,9 Mt CO2 par rapport au scénario maintien du statu quo à travers la réduction du taux annuel de déforestation de 5.000 ha/an et la création de 15.000 ha de plantations forestières par an.
</t>
        </r>
      </text>
    </comment>
    <comment ref="DJ25" authorId="3">
      <text>
        <r>
          <rPr>
            <b/>
            <sz val="10"/>
            <color indexed="81"/>
            <rFont val="Calibri"/>
          </rPr>
          <t>Microsoft Office User:</t>
        </r>
        <r>
          <rPr>
            <sz val="10"/>
            <color indexed="81"/>
            <rFont val="Calibri"/>
          </rPr>
          <t xml:space="preserve">
- réduction des émissions cumulées dues au secteur UTCAFT pendant la période 2021-2030 de 88 Mt E CO2 par rapport au scénario maintien du statu quo à travers la réduction du taux annuel de déforestation de 20.000 ha/an.
- augmentation de la séquestration des forêts naturelles pendant la période 2021-2030 de 19,1 Mt CO2 (cumul des émissions évitées) par rapport au scénario maintien du statu quo à travers la réduction du taux annuel de déforestation de 20.000 ha/an.</t>
        </r>
      </text>
    </comment>
    <comment ref="DK25" authorId="2">
      <text>
        <r>
          <rPr>
            <b/>
            <sz val="9"/>
            <color indexed="81"/>
            <rFont val="Tahoma"/>
            <family val="2"/>
          </rPr>
          <t>Billy Tsekos:</t>
        </r>
        <r>
          <rPr>
            <sz val="9"/>
            <color indexed="81"/>
            <rFont val="Tahoma"/>
            <family val="2"/>
          </rPr>
          <t xml:space="preserve">
Restaurer les forêts naturelles dégradées = 532 961 ha
Rationaliser l’exploitation des ressources forestières = sur une étendue d’au moins 1 330 000 ha 
Promouvoir les plantations domaniales, communales et privée = superficie de 100 000 ha
Sécuriser les limites des domaines forestier de l'Etat = 2 664 805ha</t>
        </r>
      </text>
    </comment>
    <comment ref="DM25" authorId="3">
      <text>
        <r>
          <rPr>
            <b/>
            <sz val="10"/>
            <color indexed="81"/>
            <rFont val="Calibri"/>
          </rPr>
          <t>6,3 Mt E-CO2</t>
        </r>
      </text>
    </comment>
    <comment ref="DO25" authorId="2">
      <text>
        <r>
          <rPr>
            <b/>
            <sz val="9"/>
            <color indexed="81"/>
            <rFont val="Tahoma"/>
            <family val="2"/>
          </rPr>
          <t>Billy Tsekos:</t>
        </r>
        <r>
          <rPr>
            <sz val="9"/>
            <color indexed="81"/>
            <rFont val="Tahoma"/>
            <family val="2"/>
          </rPr>
          <t xml:space="preserve">
68% agriculture</t>
        </r>
      </text>
    </comment>
    <comment ref="DP25" authorId="2">
      <text>
        <r>
          <rPr>
            <b/>
            <sz val="9"/>
            <color indexed="81"/>
            <rFont val="Tahoma"/>
            <family val="2"/>
          </rPr>
          <t>Billy Tsekos:</t>
        </r>
        <r>
          <rPr>
            <sz val="9"/>
            <color indexed="81"/>
            <rFont val="Tahoma"/>
            <family val="2"/>
          </rPr>
          <t xml:space="preserve">
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
idnetifying the capacity needs for Biodiversity considerations are given </t>
        </r>
      </text>
    </comment>
    <comment ref="ER25" authorId="0">
      <text>
        <r>
          <rPr>
            <b/>
            <sz val="9"/>
            <color indexed="81"/>
            <rFont val="Tahoma"/>
            <family val="2"/>
          </rPr>
          <t>Billy Tsekos:</t>
        </r>
        <r>
          <rPr>
            <sz val="9"/>
            <color indexed="81"/>
            <rFont val="Tahoma"/>
            <family val="2"/>
          </rPr>
          <t xml:space="preserve">
</t>
        </r>
        <r>
          <rPr>
            <b/>
            <sz val="9"/>
            <color indexed="81"/>
            <rFont val="Tahoma"/>
            <family val="2"/>
          </rPr>
          <t>NR-P. 56</t>
        </r>
        <r>
          <rPr>
            <sz val="9"/>
            <color indexed="81"/>
            <rFont val="Tahoma"/>
            <family val="2"/>
          </rPr>
          <t xml:space="preserve">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r>
      </text>
    </comment>
    <comment ref="ET25" authorId="1">
      <text>
        <r>
          <rPr>
            <b/>
            <sz val="9"/>
            <color indexed="81"/>
            <rFont val="Tahoma"/>
            <family val="2"/>
          </rPr>
          <t>billy.tsekos:</t>
        </r>
        <r>
          <rPr>
            <sz val="9"/>
            <color indexed="81"/>
            <rFont val="Tahoma"/>
            <family val="2"/>
          </rPr>
          <t xml:space="preserve">
</t>
        </r>
        <r>
          <rPr>
            <b/>
            <sz val="9"/>
            <color indexed="81"/>
            <rFont val="Tahoma"/>
            <family val="2"/>
          </rPr>
          <t>(NR-P.60)</t>
        </r>
        <r>
          <rPr>
            <sz val="9"/>
            <color indexed="81"/>
            <rFont val="Tahoma"/>
            <family val="2"/>
          </rPr>
          <t xml:space="preserve">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t>
        </r>
        <r>
          <rPr>
            <b/>
            <sz val="9"/>
            <color indexed="81"/>
            <rFont val="Tahoma"/>
            <family val="2"/>
          </rPr>
          <t>(NR-P.60)</t>
        </r>
        <r>
          <rPr>
            <sz val="9"/>
            <color indexed="81"/>
            <rFont val="Tahoma"/>
            <family val="2"/>
          </rPr>
          <t xml:space="preserve">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r>
      </text>
    </comment>
    <comment ref="Z26"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Forests constitute the dominant ecosystem in Bhutan, with 70.46 percent (LCMP, 2010) of the country under forest cover.
http://www.nssc.gov.bt/wp-content/uploads/2013/08/land-cover.pdf</t>
        </r>
      </text>
    </comment>
    <comment ref="AH26" authorId="1">
      <text>
        <r>
          <rPr>
            <b/>
            <sz val="9"/>
            <color indexed="81"/>
            <rFont val="Tahoma"/>
            <family val="2"/>
          </rPr>
          <t xml:space="preserve">billy.tsekos:
BHUTAN LAND COVER ASSESSMENT LCMP (2010) P.21: </t>
        </r>
        <r>
          <rPr>
            <sz val="9"/>
            <color indexed="81"/>
            <rFont val="Tahoma"/>
            <family val="2"/>
          </rPr>
          <t xml:space="preserve">The current assessment shows significant differences in land cover from the LUPP (1995). The total forest cover has increased from 64.36% (excluding scrubs) to 70.46% (excluding shrubs). However, if we include scrubs in LUPP (1995) and shrubs in LCMP (2010), the total forest cover would significantly increase from 72.49% </t>
        </r>
      </text>
    </comment>
    <comment ref="AO26" authorId="1">
      <text>
        <r>
          <rPr>
            <b/>
            <sz val="9"/>
            <color indexed="81"/>
            <rFont val="Tahoma"/>
            <family val="2"/>
          </rPr>
          <t>billy.tsekos:</t>
        </r>
        <r>
          <rPr>
            <sz val="9"/>
            <color indexed="81"/>
            <rFont val="Tahoma"/>
            <family val="2"/>
          </rPr>
          <t xml:space="preserve">
NBSAP-P.103: While there is baseline information on the acreage and location of degraded and bare areas in the country, what is lacking is the information on stages  or degree of degradation as well as the kinds of ecosystems which are degraded. 
http://www.nssc.gov.bt/wp-content/uploads/2013/08/land-cover.pdf
</t>
        </r>
      </text>
    </comment>
    <comment ref="AV26" authorId="1">
      <text>
        <r>
          <rPr>
            <b/>
            <sz val="9"/>
            <color indexed="81"/>
            <rFont val="Tahoma"/>
            <family val="2"/>
          </rPr>
          <t>Billy.Tsekos:</t>
        </r>
        <r>
          <rPr>
            <sz val="9"/>
            <color indexed="81"/>
            <rFont val="Tahoma"/>
            <family val="2"/>
          </rPr>
          <t xml:space="preserve">
</t>
        </r>
        <r>
          <rPr>
            <b/>
            <sz val="9"/>
            <color indexed="81"/>
            <rFont val="Tahoma"/>
            <family val="2"/>
          </rPr>
          <t xml:space="preserve">NBSAP-P.103: </t>
        </r>
        <r>
          <rPr>
            <sz val="9"/>
            <color indexed="81"/>
            <rFont val="Tahoma"/>
            <family val="2"/>
          </rPr>
          <t>While there is baseline information on the acreage and location of degraded and bare areas in the country, what is lacking is the information on stages  or degree of degradation as well as the kinds of ecosystems which are degraded. The lack of this crucial information has implications on the existing restoration and rehabilitation programs. There is also no institutional mechanism in place to oversee habitat and ecosystem degradation issues in a holistic approach.</t>
        </r>
      </text>
    </comment>
    <comment ref="BA26" authorId="0">
      <text>
        <r>
          <rPr>
            <b/>
            <sz val="9"/>
            <color indexed="81"/>
            <rFont val="Tahoma"/>
            <family val="2"/>
          </rPr>
          <t xml:space="preserve">NBSAP-P.89: </t>
        </r>
        <r>
          <rPr>
            <sz val="9"/>
            <color indexed="81"/>
            <rFont val="Tahoma"/>
            <family val="2"/>
          </rPr>
          <t xml:space="preserve">National Target 5: By 2018, high-biodiversity value habitats are mapped, the rate of losses is accounted, trends monitored and overall loss and fragmentation reduced; </t>
        </r>
      </text>
    </comment>
    <comment ref="BD26" authorId="1">
      <text>
        <r>
          <rPr>
            <b/>
            <sz val="9"/>
            <color indexed="81"/>
            <rFont val="Tahoma"/>
            <family val="2"/>
          </rPr>
          <t>billy.tsekos:</t>
        </r>
        <r>
          <rPr>
            <sz val="9"/>
            <color indexed="81"/>
            <rFont val="Tahoma"/>
            <family val="2"/>
          </rPr>
          <t xml:space="preserve">
2018</t>
        </r>
      </text>
    </comment>
    <comment ref="BH26" authorId="1">
      <text>
        <r>
          <rPr>
            <b/>
            <sz val="9"/>
            <color indexed="81"/>
            <rFont val="Tahoma"/>
            <family val="2"/>
          </rPr>
          <t>billy.tsekos:</t>
        </r>
        <r>
          <rPr>
            <sz val="9"/>
            <color indexed="81"/>
            <rFont val="Tahoma"/>
            <family val="2"/>
          </rPr>
          <t xml:space="preserve">
</t>
        </r>
        <r>
          <rPr>
            <b/>
            <sz val="9"/>
            <color indexed="81"/>
            <rFont val="Tahoma"/>
            <family val="2"/>
          </rPr>
          <t xml:space="preserve"> NR-P.25: </t>
        </r>
        <r>
          <rPr>
            <sz val="9"/>
            <color indexed="81"/>
            <rFont val="Tahoma"/>
            <family val="2"/>
          </rPr>
          <t xml:space="preserve">Pressures from mining on ecosystem and biodiversity result mainly from clustering of mines within a certain geographical area as reflected by the fact that 48 percent of the mines in Bhutan are concentrated within one district of Samste (National Council 2013). These activities not only lead to loss of natural habitat vis-à-vis forest land but also trigger habitat fragmentation and degradation, impacting negatively on biodiversity and often resulting in human-wildlife conflict.
Further, construction of hydropower development is seen as one of the key threats to aquatic biodiversity due to fragmentation of river ecosystem resulting in destruction of habitats and spawning ground and physical barriers to fish migration. 
</t>
        </r>
        <r>
          <rPr>
            <b/>
            <sz val="9"/>
            <color indexed="81"/>
            <rFont val="Tahoma"/>
            <family val="2"/>
          </rPr>
          <t>NR-P.37: National Target 5:</t>
        </r>
        <r>
          <rPr>
            <sz val="9"/>
            <color indexed="81"/>
            <rFont val="Tahoma"/>
            <family val="2"/>
          </rPr>
          <t xml:space="preserve"> By 2018, high-biodiversity value habitats are mapped, the rate of losses is accounted, trends monitored and overall loss and fragmentation reduced.</t>
        </r>
      </text>
    </comment>
    <comment ref="BI26" authorId="1">
      <text>
        <r>
          <rPr>
            <b/>
            <sz val="9"/>
            <color indexed="81"/>
            <rFont val="Tahoma"/>
            <family val="2"/>
          </rPr>
          <t>Billy.Tsekos:</t>
        </r>
        <r>
          <rPr>
            <sz val="9"/>
            <color indexed="81"/>
            <rFont val="Tahoma"/>
            <family val="2"/>
          </rPr>
          <t xml:space="preserve">
</t>
        </r>
        <r>
          <rPr>
            <b/>
            <sz val="9"/>
            <color indexed="81"/>
            <rFont val="Tahoma"/>
            <family val="2"/>
          </rPr>
          <t xml:space="preserve">NBSAP-P.104: </t>
        </r>
        <r>
          <rPr>
            <sz val="9"/>
            <color indexed="81"/>
            <rFont val="Tahoma"/>
            <family val="2"/>
          </rPr>
          <t xml:space="preserve">National Target 15: By 2020, priority degraded ecosystems and habitats are identified and rehabilitated
</t>
        </r>
        <r>
          <rPr>
            <b/>
            <sz val="9"/>
            <color indexed="81"/>
            <rFont val="Tahoma"/>
            <family val="2"/>
          </rPr>
          <t>NBSAP-P.103):</t>
        </r>
        <r>
          <rPr>
            <sz val="9"/>
            <color indexed="81"/>
            <rFont val="Tahoma"/>
            <family val="2"/>
          </rPr>
          <t>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r>
      </text>
    </comment>
    <comment ref="BX26" authorId="1">
      <text>
        <r>
          <rPr>
            <b/>
            <sz val="9"/>
            <color indexed="81"/>
            <rFont val="Tahoma"/>
            <family val="2"/>
          </rPr>
          <t xml:space="preserve">billy.tsekos:
NR-P.25: </t>
        </r>
        <r>
          <rPr>
            <sz val="9"/>
            <color indexed="81"/>
            <rFont val="Tahoma"/>
            <family val="2"/>
          </rPr>
          <t xml:space="preserve">Forest fire is one of the main causes of forest degradation and loss of forest and its associated biodiversity in Bhutan. DoFPS has recorded an average of 47 fire incidents annually in the last five years (Forestry Facts and Figure 2013) causing damage to a total of 47,501 acres of forest land. Although the incidence of forest fire is seen to decline over the years with just 34 cases in 2012-2013 in comparison to 74 in 2008-2009, the area destroyed has increased from 4,211.3 acres to 12,175.2 acres in those years. Therefore, forest fire still remains a serious threat. While forest fires are not always detrimental to biodiversity, especially in fire adapted ecosystem or when used as management tool, however, recurrent forest fires can lead to gradual degeneration of the site and obliteration of associate species, rendering the site vulnerable to land degradation and ecosystem change. Forest fires in Bhutan generally spread to steep, inaccessible areas beyond the intended ecosystem/habitat and ravages everything in its path, leading to detrimental effects that far outweigh any potential benefits. Moreover, the causes of fires are mostly man-made such as increasing area for cattle foraging, preventing wildlife invasions and other accidental cases.
</t>
        </r>
        <r>
          <rPr>
            <b/>
            <sz val="9"/>
            <color indexed="81"/>
            <rFont val="Tahoma"/>
            <family val="2"/>
          </rPr>
          <t>NR-P.26:</t>
        </r>
        <r>
          <rPr>
            <sz val="9"/>
            <color indexed="81"/>
            <rFont val="Tahoma"/>
            <family val="2"/>
          </rPr>
          <t xml:space="preserve">The current trend of timber extraction is of serious concern given the fact that most of the timber resources are supplied on an ad-hoc basis from unmanaged forests. The NRDCL has extracted about 10 million cft of commercial timber in the last five years (2008-12) from forest management units and working schemes, based on the annual allowable cuts determined by the DoFPS. In addition, during the same period, the DoFPS allotted about 40 million cft of timber for various uses from areas, much of which were supplied on ad hoc basis (Forestry facts and figures 2013). Therefore, the sustainable limits of these forest resources, particularly those supplied from areas outside FMU systems are not known. 
</t>
        </r>
        <r>
          <rPr>
            <b/>
            <sz val="9"/>
            <color indexed="81"/>
            <rFont val="Tahoma"/>
            <family val="2"/>
          </rPr>
          <t>NR-P.26:</t>
        </r>
        <r>
          <rPr>
            <sz val="9"/>
            <color indexed="81"/>
            <rFont val="Tahoma"/>
            <family val="2"/>
          </rPr>
          <t>The most common forest offence reported pertains to illegal trade and transport of timber (Forestry facts and figures 2013). Other offences include wildlife poaching, illegal harvesting of NWFP, fishing, retaliatory killings, forest fire, etc. The driving factors are booming construction sector, lucrative market for high value medicinal species, and expansion of farm roads.</t>
        </r>
      </text>
    </comment>
    <comment ref="CH26" authorId="1">
      <text>
        <r>
          <rPr>
            <b/>
            <sz val="9"/>
            <color indexed="81"/>
            <rFont val="Tahoma"/>
            <family val="2"/>
          </rPr>
          <t>billy.tsekos:</t>
        </r>
        <r>
          <rPr>
            <sz val="9"/>
            <color indexed="81"/>
            <rFont val="Tahoma"/>
            <family val="2"/>
          </rPr>
          <t xml:space="preserve">
</t>
        </r>
        <r>
          <rPr>
            <b/>
            <sz val="9"/>
            <color indexed="81"/>
            <rFont val="Tahoma"/>
            <family val="2"/>
          </rPr>
          <t xml:space="preserve">NBSAP-P.115: </t>
        </r>
        <r>
          <rPr>
            <sz val="9"/>
            <color indexed="81"/>
            <rFont val="Tahoma"/>
            <family val="2"/>
          </rPr>
          <t xml:space="preserve">Opportunities for innovative financing such as Payment for Ecosystem Services (PES), eco-tourism, REDD+ and Climate financing are also being tapped. Currently Bhutan is implementing REDD+ readiness program through the financial support of USD 3.8 million from the Forest Carbon Partnership Facility (FCPF). Further, Bhutan has also initiated projects on integrating PES and REDD+, and eco-tourism. However, all of these financial schemes are in their infancy and will require strong support from the government as well as international donors. </t>
        </r>
      </text>
    </comment>
    <comment ref="CP26" authorId="1">
      <text>
        <r>
          <rPr>
            <b/>
            <sz val="9"/>
            <color indexed="81"/>
            <rFont val="Tahoma"/>
            <family val="2"/>
          </rPr>
          <t>billy.tsekos:</t>
        </r>
        <r>
          <rPr>
            <sz val="9"/>
            <color indexed="81"/>
            <rFont val="Tahoma"/>
            <family val="2"/>
          </rPr>
          <t xml:space="preserve">
</t>
        </r>
        <r>
          <rPr>
            <b/>
            <sz val="9"/>
            <color indexed="81"/>
            <rFont val="Tahoma"/>
            <family val="2"/>
          </rPr>
          <t xml:space="preserve">NBSAP-P.96: </t>
        </r>
        <r>
          <rPr>
            <sz val="9"/>
            <color indexed="81"/>
            <rFont val="Tahoma"/>
            <family val="2"/>
          </rPr>
          <t>National target 10: By 2020, the potential impacts of climate change on vulnerable ecosystems are identified and adaptation measures strengthened.
This target underscores, first, the need for strengthening efforts in understanding the impacts of climate change on biodiversity and ecosystems at the national level, and second, for enhancing resilience and adding value to regional and international efforts.</t>
        </r>
      </text>
    </comment>
    <comment ref="CQ26"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 xml:space="preserve">National target 10: By 2020, potential impacts of climate change on </t>
        </r>
        <r>
          <rPr>
            <b/>
            <sz val="9"/>
            <color indexed="81"/>
            <rFont val="Tahoma"/>
            <family val="2"/>
          </rPr>
          <t>vulnerable ecosystems</t>
        </r>
        <r>
          <rPr>
            <sz val="9"/>
            <color indexed="81"/>
            <rFont val="Tahoma"/>
            <family val="2"/>
          </rPr>
          <t xml:space="preserve"> identified and adaptation measures strengthened; 
</t>
        </r>
        <r>
          <rPr>
            <b/>
            <sz val="9"/>
            <color indexed="81"/>
            <rFont val="Tahoma"/>
            <family val="2"/>
          </rPr>
          <t>NBSAP-P.96:</t>
        </r>
        <r>
          <rPr>
            <sz val="9"/>
            <color indexed="81"/>
            <rFont val="Tahoma"/>
            <family val="2"/>
          </rPr>
          <t xml:space="preserve"> Although adaptation to climate change cuts across almost all the targets and actions are reflected accordingly in Targets 9, 11, 12, 13, 14 and 15, Target 10 is identified separately with specific focus on enhancing understanding on the impacts of climate change on biodiversity and ecosystems. Currently, apart from a few scattered studies and community perceptions, there is still a huge gap in research and understanding on the impacts of climate change on biodiversity and ecosystems in the country. This drawback has been recognized and actions to address this issue prioritized in national documents such as Biodiversity Persistence and Climate change, 2011 and the Second National Communication to the United Nations Framework Convention on Climate Change (UNFCCC). Short-term and immediate adaptation measures have been implemented through the National Adaptation Plan of Action (NAPA) under UNFCCC. </t>
        </r>
      </text>
    </comment>
    <comment ref="CW26" authorId="1">
      <text>
        <r>
          <rPr>
            <b/>
            <sz val="9"/>
            <color indexed="81"/>
            <rFont val="Tahoma"/>
            <family val="2"/>
          </rPr>
          <t>billy.tsekos:
NBSAP-P67:</t>
        </r>
        <r>
          <rPr>
            <sz val="9"/>
            <color indexed="81"/>
            <rFont val="Tahoma"/>
            <family val="2"/>
          </rPr>
          <t xml:space="preserve"> the greatest conservation challenge that Bhutan faces is to operate the protected areas at the highest standard with sustainable financing while maintaining a balance between conservation and sustainable utilization. Currently most of the protected area boundaries have not been clearly demarcated and zoned for management interventions resulting in ad hoc planning of services/facilities and resource extraction often conflicting with conservation goals and rules (NCD, 2009). The lack of physical demarcation of the different zones also poses a challenge in ensuring legal protection of these areas in case of encroachment/land conversion.</t>
        </r>
      </text>
    </comment>
    <comment ref="DA26" authorId="1">
      <text>
        <r>
          <rPr>
            <b/>
            <sz val="9"/>
            <color indexed="81"/>
            <rFont val="Tahoma"/>
            <family val="2"/>
          </rPr>
          <t>billy.tsekos:</t>
        </r>
        <r>
          <rPr>
            <sz val="9"/>
            <color indexed="81"/>
            <rFont val="Tahoma"/>
            <family val="2"/>
          </rPr>
          <t xml:space="preserve">
We are extremely grateful to the Global Environment Facility for their financial support towards the preparation of this document through the GEF-UNEP Expedited Enabling Support to Bhutan for the revision of the NBSAP project and for their continuous support to Bhutan’s biodiversity conservation and sustainable development</t>
        </r>
      </text>
    </comment>
    <comment ref="ER26" authorId="0">
      <text>
        <r>
          <rPr>
            <b/>
            <sz val="9"/>
            <color indexed="81"/>
            <rFont val="Tahoma"/>
            <family val="2"/>
          </rPr>
          <t>NR-P.75:</t>
        </r>
        <r>
          <rPr>
            <sz val="9"/>
            <color indexed="81"/>
            <rFont val="Tahoma"/>
            <family val="2"/>
          </rPr>
          <t xml:space="preserve">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r>
      </text>
    </comment>
    <comment ref="ET26" authorId="1">
      <text>
        <r>
          <rPr>
            <b/>
            <sz val="9"/>
            <color indexed="81"/>
            <rFont val="Tahoma"/>
            <family val="2"/>
          </rPr>
          <t>billy.tsekos:</t>
        </r>
        <r>
          <rPr>
            <sz val="9"/>
            <color indexed="81"/>
            <rFont val="Tahoma"/>
            <family val="2"/>
          </rPr>
          <t xml:space="preserve">
</t>
        </r>
        <r>
          <rPr>
            <b/>
            <sz val="9"/>
            <color indexed="81"/>
            <rFont val="Tahoma"/>
            <family val="2"/>
          </rPr>
          <t>NBSAP-P.xx:</t>
        </r>
        <r>
          <rPr>
            <sz val="9"/>
            <color indexed="81"/>
            <rFont val="Tahoma"/>
            <family val="2"/>
          </rPr>
          <t xml:space="preserve"> Target: By 2020, the status of biodiversity has improved through the safeguarding of ecosystems, species and genetic diversity in the 30 declared protected areas. </t>
        </r>
      </text>
    </comment>
    <comment ref="Z27" authorId="0">
      <text>
        <r>
          <rPr>
            <b/>
            <sz val="9"/>
            <color indexed="81"/>
            <rFont val="Tahoma"/>
            <family val="2"/>
          </rPr>
          <t xml:space="preserve">Map of ecoregions, p 23
Con relación a los Humedales, </t>
        </r>
        <r>
          <rPr>
            <sz val="9"/>
            <color indexed="81"/>
            <rFont val="Tahoma"/>
            <family val="2"/>
          </rPr>
          <t>el año 2013 fue importante debido a la declaración de nuevos sitios Ramsar en Bolivia. Se registró ante la Convención a Río Blanco (2.404.916 ha), Río Matos (1.729.788 ha) y Río Yata (2.813.229 ha). Esto permite que el 2013, la superficie de sitios Ramsar se incremente de 7.894.472 ha a 14.842.405 ha46.</t>
        </r>
      </text>
    </comment>
    <comment ref="AH27" authorId="0">
      <text>
        <r>
          <rPr>
            <b/>
            <sz val="9"/>
            <color indexed="81"/>
            <rFont val="Tahoma"/>
            <family val="2"/>
          </rPr>
          <t xml:space="preserve">SERNAP figures (p. 34)
1990-2000 - 3.2% deforestation rate (1440 ha/56 760) and 123 ha regained
2000-2010 - 5.7% deforestation rate (2053 ha/54 967) and 707 ha regained 
</t>
        </r>
        <r>
          <rPr>
            <sz val="9"/>
            <color indexed="81"/>
            <rFont val="Tahoma"/>
            <family val="2"/>
          </rPr>
          <t xml:space="preserve">
</t>
        </r>
        <r>
          <rPr>
            <b/>
            <sz val="9"/>
            <color indexed="81"/>
            <rFont val="Tahoma"/>
            <family val="2"/>
          </rPr>
          <t xml:space="preserve">FRA figures </t>
        </r>
        <r>
          <rPr>
            <sz val="9"/>
            <color indexed="81"/>
            <rFont val="Tahoma"/>
            <family val="2"/>
          </rPr>
          <t xml:space="preserve">
Promedio 1993-2000 270.333
Tasa de deforestación de Bolivia 1993-2000; BOLFOR Superintendencia Forestal 2003
2004 275.128 Avance de la deforestación en Bolivia, Superintendencia Forestal 2004
2005 281.283 Avance de la deforestación en Bolivia, Superintendencia Forestal 2005
2006 307.211 Avance de la deforestación en Bolivia, Superintendencia Forestal 2006
2007 345.376 Avance de la deforestación en Bolivia, Superintendencia Forestal 2007
Promedio 2004-2007 302.249
(Fuente: Informe Nacional, Bolivia FRA 2010 en MMAyA 2015)
Proyección de la superficie y la tasa de deforestación periodo 2000-2010
Periodo / Tasa de deforestación anual (ha) / Superficie de bosque
2000    270.333    60.091.000
2005    281.283    58.734.540
2010    307.674    57.196.172
</t>
        </r>
        <r>
          <rPr>
            <b/>
            <sz val="9"/>
            <color indexed="81"/>
            <rFont val="Tahoma"/>
            <family val="2"/>
          </rPr>
          <t>Breakdown by forest type/region on p 33</t>
        </r>
        <r>
          <rPr>
            <sz val="9"/>
            <color indexed="81"/>
            <rFont val="Tahoma"/>
            <family val="2"/>
          </rPr>
          <t xml:space="preserve">
</t>
        </r>
      </text>
    </comment>
    <comment ref="AO27" authorId="0">
      <text>
        <r>
          <rPr>
            <b/>
            <sz val="9"/>
            <color indexed="81"/>
            <rFont val="Tahoma"/>
            <family val="2"/>
          </rPr>
          <t>p 44 - mapa del grado de degradacion en %, proyeccion 2015</t>
        </r>
      </text>
    </comment>
    <comment ref="BA27" authorId="0">
      <text>
        <r>
          <rPr>
            <b/>
            <sz val="9"/>
            <color indexed="81"/>
            <rFont val="Tahoma"/>
            <family val="2"/>
          </rPr>
          <t>Coertura forestal incrementada?</t>
        </r>
      </text>
    </comment>
    <comment ref="BE27" authorId="0">
      <text>
        <r>
          <rPr>
            <b/>
            <sz val="9"/>
            <color indexed="81"/>
            <rFont val="Tahoma"/>
            <family val="2"/>
          </rPr>
          <t xml:space="preserve">2005-2010 (p. 36, with a breakdown of management systems)
 </t>
        </r>
        <r>
          <rPr>
            <sz val="9"/>
            <color indexed="81"/>
            <rFont val="Tahoma"/>
            <family val="2"/>
          </rPr>
          <t xml:space="preserve">
El mismo estudio, analiza tres posibles escenarios de deforestación hasta el año 2021. El primero
utiliza la tasa de deforestación histórica (2005 al 2010) en el área fuera de la TCO Takana, siendo el
escenario en ausencia de esfuerzos de gestión territorial. El segundo utiliza la tasa de deforestación
histórica (2005 al 2010) a lo largo del camino Yucumo-Rurrenabaque, donde el proceso de
colonización está más establecido. El tercer escenario utiliza la tasa de deforestación histórica (2005 al
2010) dentro de la TCO Takana.</t>
        </r>
      </text>
    </comment>
    <comment ref="BI27" authorId="0">
      <text>
        <r>
          <rPr>
            <b/>
            <sz val="9"/>
            <color indexed="81"/>
            <rFont val="Tahoma"/>
            <family val="2"/>
          </rPr>
          <t>cobertura florestal incrementada?</t>
        </r>
        <r>
          <rPr>
            <sz val="9"/>
            <color indexed="81"/>
            <rFont val="Tahoma"/>
            <family val="2"/>
          </rPr>
          <t xml:space="preserve">
La Agenda 2025 establece el incremento anual de la cobertura forestal mediante un árbol por cada
boliviana y boliviano, en alusión a la deforestación que se constituye en uno de los mayores retos para
la conservación de la diversidad biológica del país.</t>
        </r>
      </text>
    </comment>
    <comment ref="BT27" authorId="0">
      <text>
        <r>
          <rPr>
            <b/>
            <sz val="9"/>
            <color indexed="81"/>
            <rFont val="Tahoma"/>
            <family val="2"/>
          </rPr>
          <t xml:space="preserve">467 hectáreas
</t>
        </r>
        <r>
          <rPr>
            <sz val="9"/>
            <color indexed="81"/>
            <rFont val="Tahoma"/>
            <family val="2"/>
          </rPr>
          <t>Se aprueba el Plan Nacional de Forestación y Reforestación el 2010,
es ejecutado por el Ministerio de Medio Ambiente y Agua
(MMAyA) junto a sus unidades desconcentradas como el Fondo
Nacional de Desarrollo Forestal (FONABOSQUE), la Entidad
Ejecutora de Medio Ambiente y Agua (EMAGUA) y el programa
Sustentar.
- En el marco de dicho Plan, se tienen 5 sub proyectos de lantaciones
forestales a nivel nacional, que alcanzan los 294.366 plantines
representando 467 hectáreas, con una inversión de 211.700 USD.
Adicionalmente, se contribuye a la Madre Tierra con la
implementación de 40 viveros forestales que generan 216 empleos
directos y 293 empleos indirectos.
―El Plan Nacional de Forestación y Reforestación
Resultado de la ejecución del plan se tiene 10 millones de plantines reforestados en áreas degradadas y susceptibles a degradarse, en 75 municipios de los nueve departamentos del país. En este proceso se capacitaron a 21 mil personas.</t>
        </r>
      </text>
    </comment>
    <comment ref="BX27" authorId="0">
      <text>
        <r>
          <rPr>
            <b/>
            <sz val="9"/>
            <color indexed="81"/>
            <rFont val="Tahoma"/>
            <family val="2"/>
          </rPr>
          <t xml:space="preserve">See also, p 39-40
Fire occurence data from INPE 2015, per region, p49
</t>
        </r>
        <r>
          <rPr>
            <sz val="9"/>
            <color indexed="81"/>
            <rFont val="Tahoma"/>
            <family val="2"/>
          </rPr>
          <t xml:space="preserve">
La deforestación se encuentra entre las principales causas de pérdida de biodiversidad. Los principales
usos del suelo que contribuyen a la deforestación y su peso relativo son: la ganadería en pastos
sembrados con el 50%, la agricultura mecanizada con el 30% y la agricultura de pequeña escala con el
18% de la deforestación. Las zonas más afectadas se encuentran en las ecoregiones de bosque
yungueño; bosque húmedo del sudoeste de la Amazonía; bosque seco chiquitano y Chaco.
Entre las amenazas que afectan a los sistemas de vida y que provienen de actividades antrópicas se
pueden incluir, principalmente: el avance de la frontera agrícola y pecuaria (principalmente para la
producción agroindustrial de monocultivos para la exportación y para la producción extensiva de
ganado vacuno). Según datos del Ministerio de Economía y Finanzas Públicas (2013), la superficie de
tierra cultivada en Bolivia creció de 2.627.676 hectáreas (campaña 2005-2006) a 3.175.420 hectáreas
(2011-2012), es decir 21%. Los productos con mayor superficie son soya, maíz en grano, girasol y
sorgo y se proyecta una ampliación de superficie de 6 millones de hectáreas hasta el 2025.
Entre aquellas amenazas que afectan los sistemas de vida y que provienen de actividades antrópicas se
pueden incluir principalmente la ampliación de la frontera agrícola y pecuaria de forma ilegal y
desorganizada (principalmente para la producción agroindustrial de monocultivos para la exportación y
para la producción ganadera vacuna); la expansión sin control de las actividades mineras, en algunos
casos (como la minería informal y cooperativa), y la ampliación de infraestructura sin prácticas
adecuadas.</t>
        </r>
      </text>
    </comment>
    <comment ref="CQ27" authorId="0">
      <text>
        <r>
          <rPr>
            <b/>
            <sz val="9"/>
            <color indexed="81"/>
            <rFont val="Tahoma"/>
            <family val="2"/>
          </rPr>
          <t>Lists ecosystems most threatened</t>
        </r>
        <r>
          <rPr>
            <sz val="9"/>
            <color indexed="81"/>
            <rFont val="Tahoma"/>
            <family val="2"/>
          </rPr>
          <t xml:space="preserve">
Las amenazas vinculadas a la variabilidad climática y al cambio climático y que afectan tanto a los
sistemas de vida como a las especies estarían relacionadas principalmente al incremento de
inundaciones, sequías, heladas, calor y otros eventos climáticos extremos. Los cambios climáticos
previstos en Bolivia, podrían tener impactos muy fuertes para la biodiversidad, especialmente en el
Altiplano donde se prevé un acelerado proceso de desertificación debido a la reducción de
precipitación y el aumento en variabilidad de temperaturas. En las tierras bajas, el cambio climático no
es la mayor amenaza para la biodiversidad, sino el avance de la frontera agrícola.
La conservación de la biodiversidad es fundamental para garantizar la capacidad de resiliencia de los
Sistemas de Vida, aspecto clave para la adaptación al Cambio Climático. Por otra parte, a partir de la
gestión integral y sustentable de los Sistemas de Vida se contribuye a la mitigación del cambio
climático. Estos criterios son implementados por el Estado Plurinacional de Bolivia a partir del
Mecanismo conjunto de adaptación y mitigación para el manejo integral de los bosques y la Madre
Tierra.</t>
        </r>
      </text>
    </comment>
    <comment ref="CW27" authorId="0">
      <text>
        <r>
          <rPr>
            <b/>
            <sz val="9"/>
            <color indexed="81"/>
            <rFont val="Tahoma"/>
            <family val="2"/>
          </rPr>
          <t>Por otra parte, el estudio también evaluó la deforestación en áreas protegidas de carácter nacional y
concluye que la misma es significativamente inferior a la ocurrida a nivel nacional, habiendo alcanzado
el 0,5% en 1990, 0,6% en 2000 y el 1% en 2010.</t>
        </r>
      </text>
    </comment>
    <comment ref="ER27" authorId="1">
      <text>
        <r>
          <rPr>
            <b/>
            <sz val="9"/>
            <color indexed="81"/>
            <rFont val="Tahoma"/>
            <family val="2"/>
          </rPr>
          <t>billy.tsekos:</t>
        </r>
        <r>
          <rPr>
            <sz val="9"/>
            <color indexed="81"/>
            <rFont val="Tahoma"/>
            <family val="2"/>
          </rPr>
          <t xml:space="preserve">
</t>
        </r>
        <r>
          <rPr>
            <b/>
            <sz val="9"/>
            <color indexed="81"/>
            <rFont val="Tahoma"/>
            <family val="2"/>
          </rPr>
          <t xml:space="preserve">NR- P.53:National target 12: </t>
        </r>
        <r>
          <rPr>
            <sz val="9"/>
            <color indexed="81"/>
            <rFont val="Tahoma"/>
            <family val="2"/>
          </rPr>
          <t xml:space="preserve">By 2020, the rate of natural habitat  loss will have reduced, and restoration of natural habitat and wildlife corridors will have improved. </t>
        </r>
      </text>
    </comment>
    <comment ref="ET27" authorId="1">
      <text>
        <r>
          <rPr>
            <b/>
            <sz val="9"/>
            <color indexed="81"/>
            <rFont val="Tahoma"/>
            <family val="2"/>
          </rPr>
          <t>billy.tsekos:</t>
        </r>
        <r>
          <rPr>
            <sz val="9"/>
            <color indexed="81"/>
            <rFont val="Tahoma"/>
            <family val="2"/>
          </rPr>
          <t xml:space="preserve">
</t>
        </r>
        <r>
          <rPr>
            <b/>
            <sz val="9"/>
            <color indexed="81"/>
            <rFont val="Tahoma"/>
            <family val="2"/>
          </rPr>
          <t>NR- P.52:</t>
        </r>
        <r>
          <rPr>
            <sz val="9"/>
            <color indexed="81"/>
            <rFont val="Tahoma"/>
            <family val="2"/>
          </rPr>
          <t xml:space="preserve"> </t>
        </r>
        <r>
          <rPr>
            <b/>
            <sz val="9"/>
            <color indexed="81"/>
            <rFont val="Tahoma"/>
            <family val="2"/>
          </rPr>
          <t>National target 6</t>
        </r>
        <r>
          <rPr>
            <sz val="9"/>
            <color indexed="81"/>
            <rFont val="Tahoma"/>
            <family val="2"/>
          </rPr>
          <t xml:space="preserve">: By 2020, ecosystems and their functioning have been restored  and preserved  benefiting local communities particularly women, old person, children and  indigenous people. </t>
        </r>
      </text>
    </comment>
    <comment ref="G28" authorId="2">
      <text>
        <r>
          <rPr>
            <b/>
            <sz val="9"/>
            <color indexed="81"/>
            <rFont val="Tahoma"/>
            <family val="2"/>
          </rPr>
          <t>Billy Tsekos:</t>
        </r>
        <r>
          <rPr>
            <sz val="9"/>
            <color indexed="81"/>
            <rFont val="Tahoma"/>
            <family val="2"/>
          </rPr>
          <t xml:space="preserve">
2016</t>
        </r>
      </text>
    </comment>
    <comment ref="Z28" authorId="2">
      <text>
        <r>
          <rPr>
            <b/>
            <sz val="9"/>
            <color indexed="81"/>
            <rFont val="Tahoma"/>
            <family val="2"/>
          </rPr>
          <t>Billy Tsekos:</t>
        </r>
        <r>
          <rPr>
            <sz val="9"/>
            <color indexed="81"/>
            <rFont val="Tahoma"/>
            <family val="2"/>
          </rPr>
          <t xml:space="preserve">
</t>
        </r>
        <r>
          <rPr>
            <b/>
            <sz val="9"/>
            <color indexed="81"/>
            <rFont val="Tahoma"/>
            <family val="2"/>
          </rPr>
          <t xml:space="preserve">NBSAP-P.52: </t>
        </r>
        <r>
          <rPr>
            <sz val="9"/>
            <color indexed="81"/>
            <rFont val="Tahoma"/>
            <family val="2"/>
          </rPr>
          <t xml:space="preserve">BiH is deemed to be one of the European countries that are extremely rich in forest resources in terms of their distribution and biological diversity. The mere fact that forests cover 2,709,769 ha, or about 53 % of the total land area, indicates upon their importance in providing multiple benefits to the broader community </t>
        </r>
      </text>
    </comment>
    <comment ref="AH28"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Looking at the overall production of forestry assortments in BiH for the period of 2008-2013 (Chart 3), there is a sharp drop in production in the period of 2008-2009, and a gradual increase in the period of 2009-2013. The highest production of deciduous trees was recorded in 2008 and of conifers in 2013.</t>
        </r>
      </text>
    </comment>
    <comment ref="AO28" authorId="2">
      <text>
        <r>
          <rPr>
            <b/>
            <sz val="9"/>
            <color indexed="81"/>
            <rFont val="Tahoma"/>
            <family val="2"/>
          </rPr>
          <t>Billy Tsekos:</t>
        </r>
        <r>
          <rPr>
            <sz val="9"/>
            <color indexed="81"/>
            <rFont val="Tahoma"/>
            <family val="2"/>
          </rPr>
          <t xml:space="preserve">
</t>
        </r>
        <r>
          <rPr>
            <b/>
            <sz val="9"/>
            <color indexed="81"/>
            <rFont val="Tahoma"/>
            <family val="2"/>
          </rPr>
          <t>NBSAP-P.55:</t>
        </r>
        <r>
          <rPr>
            <sz val="9"/>
            <color indexed="81"/>
            <rFont val="Tahoma"/>
            <family val="2"/>
          </rPr>
          <t>Table 9: Forest Damage (m3) in BiH for the Period of 2008-2013</t>
        </r>
      </text>
    </comment>
    <comment ref="BA28" authorId="2">
      <text>
        <r>
          <rPr>
            <b/>
            <sz val="9"/>
            <color indexed="81"/>
            <rFont val="Tahoma"/>
            <family val="2"/>
          </rPr>
          <t>Billy Tsekos:</t>
        </r>
        <r>
          <rPr>
            <sz val="9"/>
            <color indexed="81"/>
            <rFont val="Tahoma"/>
            <family val="2"/>
          </rPr>
          <t xml:space="preserve">
</t>
        </r>
        <r>
          <rPr>
            <b/>
            <sz val="9"/>
            <color indexed="81"/>
            <rFont val="Tahoma"/>
            <family val="2"/>
          </rPr>
          <t xml:space="preserve">NBSAp-P.132: </t>
        </r>
        <r>
          <rPr>
            <sz val="9"/>
            <color indexed="81"/>
            <rFont val="Tahoma"/>
            <family val="2"/>
          </rPr>
          <t xml:space="preserve">By 2020, map and evaluate the benefits from forest, agricultural and water ecosystems, and strengthen the environmental permit mechanism and supervisory inspection within protected areas, areas of special interest and areas from the Natura 2000 ecological network plan
</t>
        </r>
      </text>
    </comment>
    <comment ref="BD28" authorId="2">
      <text>
        <r>
          <rPr>
            <b/>
            <sz val="9"/>
            <color indexed="81"/>
            <rFont val="Tahoma"/>
            <family val="2"/>
          </rPr>
          <t>Billy Tsekos:</t>
        </r>
        <r>
          <rPr>
            <sz val="9"/>
            <color indexed="81"/>
            <rFont val="Tahoma"/>
            <family val="2"/>
          </rPr>
          <t xml:space="preserve">
2020</t>
        </r>
      </text>
    </comment>
    <comment ref="BH28" authorId="2">
      <text>
        <r>
          <rPr>
            <b/>
            <sz val="9"/>
            <color indexed="81"/>
            <rFont val="Tahoma"/>
            <family val="2"/>
          </rPr>
          <t>Billy Tsekos:</t>
        </r>
        <r>
          <rPr>
            <sz val="9"/>
            <color indexed="81"/>
            <rFont val="Tahoma"/>
            <family val="2"/>
          </rPr>
          <t xml:space="preserve">
</t>
        </r>
        <r>
          <rPr>
            <b/>
            <sz val="9"/>
            <color indexed="81"/>
            <rFont val="Tahoma"/>
            <family val="2"/>
          </rPr>
          <t xml:space="preserve">NBSAP-P.43: </t>
        </r>
        <r>
          <rPr>
            <sz val="9"/>
            <color indexed="81"/>
            <rFont val="Tahoma"/>
            <family val="2"/>
          </rPr>
          <t xml:space="preserve">Adoption and implementation of planning documents at all levels in BiH has been slow, leading to uncontrolled urbanization and fragmentation and loss of agricultural, forest, wetland and other habitats.
</t>
        </r>
      </text>
    </comment>
    <comment ref="BI28" authorId="2">
      <text>
        <r>
          <rPr>
            <b/>
            <sz val="9"/>
            <color indexed="81"/>
            <rFont val="Tahoma"/>
            <family val="2"/>
          </rPr>
          <t>Billy Tsekos:</t>
        </r>
        <r>
          <rPr>
            <sz val="9"/>
            <color indexed="81"/>
            <rFont val="Tahoma"/>
            <family val="2"/>
          </rPr>
          <t xml:space="preserve">
</t>
        </r>
        <r>
          <rPr>
            <b/>
            <sz val="9"/>
            <color indexed="81"/>
            <rFont val="Tahoma"/>
            <family val="2"/>
          </rPr>
          <t>NBSAP-P.127:</t>
        </r>
        <r>
          <rPr>
            <sz val="9"/>
            <color indexed="81"/>
            <rFont val="Tahoma"/>
            <family val="2"/>
          </rPr>
          <t xml:space="preserve"> By 2020, restore 30 strip-mine lakes into wetland habitats, increase the productivity of all categories of forests, preserve the existing area of flood alder and willow forests, and increase the regulated urban green areas by 20 %
</t>
        </r>
      </text>
    </comment>
    <comment ref="BP28" authorId="2">
      <text>
        <r>
          <rPr>
            <b/>
            <sz val="9"/>
            <color indexed="81"/>
            <rFont val="Tahoma"/>
            <family val="2"/>
          </rPr>
          <t>Billy Tsekos:</t>
        </r>
        <r>
          <rPr>
            <sz val="9"/>
            <color indexed="81"/>
            <rFont val="Tahoma"/>
            <family val="2"/>
          </rPr>
          <t xml:space="preserve">
</t>
        </r>
        <r>
          <rPr>
            <b/>
            <sz val="9"/>
            <color indexed="81"/>
            <rFont val="Tahoma"/>
            <family val="2"/>
          </rPr>
          <t xml:space="preserve">NBSAP-P.119: </t>
        </r>
        <r>
          <rPr>
            <sz val="9"/>
            <color indexed="81"/>
            <rFont val="Tahoma"/>
            <family val="2"/>
          </rPr>
          <t xml:space="preserve">Conduct forestation of degraded forest ecosystems with indigenousspecies;
Establish cooperation and synergy among the relevant institutions
</t>
        </r>
      </text>
    </comment>
    <comment ref="BT28" authorId="2">
      <text>
        <r>
          <rPr>
            <b/>
            <sz val="9"/>
            <color indexed="81"/>
            <rFont val="Tahoma"/>
            <family val="2"/>
          </rPr>
          <t>Billy Tsekos:</t>
        </r>
        <r>
          <rPr>
            <sz val="9"/>
            <color indexed="81"/>
            <rFont val="Tahoma"/>
            <family val="2"/>
          </rPr>
          <t xml:space="preserve">
</t>
        </r>
        <r>
          <rPr>
            <b/>
            <sz val="9"/>
            <color indexed="81"/>
            <rFont val="Tahoma"/>
            <family val="2"/>
          </rPr>
          <t>NBSAP-P.56:</t>
        </r>
        <r>
          <rPr>
            <sz val="9"/>
            <color indexed="81"/>
            <rFont val="Tahoma"/>
            <family val="2"/>
          </rPr>
          <t xml:space="preserve"> According to the data in the Forestry Development Strategy of the RS (2003-2008) in the framework of state forests, 9,086 ha were reforested (7,649 ha or 84 % within forests, and 1,437 ha or 16 % out of forests). The index showing increase in forested areas was 1.2. If raising of new forests were to continue, it can be expected that in the next 10 years some 20,000 ha of various categories of forest land in and outside forests would be reforested. Within the private forests and forest lands, no intensive reforestation has been done.</t>
        </r>
      </text>
    </comment>
    <comment ref="BX28" authorId="2">
      <text>
        <r>
          <rPr>
            <b/>
            <sz val="9"/>
            <color indexed="81"/>
            <rFont val="Tahoma"/>
            <family val="2"/>
          </rPr>
          <t>Billy Tsekos:</t>
        </r>
        <r>
          <rPr>
            <sz val="9"/>
            <color indexed="81"/>
            <rFont val="Tahoma"/>
            <family val="2"/>
          </rPr>
          <t xml:space="preserve">
</t>
        </r>
        <r>
          <rPr>
            <b/>
            <sz val="9"/>
            <color indexed="81"/>
            <rFont val="Tahoma"/>
            <family val="2"/>
          </rPr>
          <t>NBSAP-P.52:</t>
        </r>
        <r>
          <rPr>
            <sz val="9"/>
            <color indexed="81"/>
            <rFont val="Tahoma"/>
            <family val="2"/>
          </rPr>
          <t xml:space="preserve"> Economic recovery in the post-war period has been based mainly on the use of natural resources, leading to negative consequences for the forest resources in BiH. There has been increased degradation of these resources in terms of uncontrolled logging, pest calamities, forest fires, all of which affects the reduction potential of forest components in terms of providing long-term benefits for the society, especially for biological diversity conservation (Possibilities of Using Biomass from Forestry and Wood Industry in BiH, 2014). This condition is partially caused by the disorderly institutional, legislative and strategic frameworks for the management of forest resources, which due to complex administrative arrangement of BiH is often insufficiently reactive. In this connection, it is necessary to take serious strategic steps and apply a set of forest policy instruments in order to lead to the preservation and improvement of the potential of forest resources in BiH.
</t>
        </r>
        <r>
          <rPr>
            <b/>
            <sz val="9"/>
            <color indexed="81"/>
            <rFont val="Tahoma"/>
            <family val="2"/>
          </rPr>
          <t xml:space="preserve">NBSAP-P.55: </t>
        </r>
        <r>
          <rPr>
            <sz val="9"/>
            <color indexed="81"/>
            <rFont val="Tahoma"/>
            <family val="2"/>
          </rPr>
          <t>Five types of forest damage have been identified in BiH: the human factor, damage from insects, damage from natural disasters, damage by plant diseases and fire damage (Table 9). Total damage was the most recorded in fire damage cases (a drastic upward trend in the period from 2010 to 2012, where the most damage was recorded in 2012), then the human factor (gradual growth in the period of 2008-2012, and the worst damage was in 2012), damage from natural disasters (the most damage was in 2013 and 2010, and the least was in 2012), damage from insects (the most damage in 2008), and damage caused by plant diseases (the most damage recorded in 2013).</t>
        </r>
      </text>
    </comment>
    <comment ref="CC28" authorId="2">
      <text>
        <r>
          <rPr>
            <b/>
            <sz val="9"/>
            <color indexed="81"/>
            <rFont val="Tahoma"/>
            <family val="2"/>
          </rPr>
          <t>Billy Tsekos:</t>
        </r>
        <r>
          <rPr>
            <sz val="9"/>
            <color indexed="81"/>
            <rFont val="Tahoma"/>
            <family val="2"/>
          </rPr>
          <t xml:space="preserve">
</t>
        </r>
        <r>
          <rPr>
            <b/>
            <sz val="9"/>
            <color indexed="81"/>
            <rFont val="Tahoma"/>
            <family val="2"/>
          </rPr>
          <t>NBSAP-P.91:</t>
        </r>
        <r>
          <rPr>
            <sz val="9"/>
            <color indexed="81"/>
            <rFont val="Tahoma"/>
            <family val="2"/>
          </rPr>
          <t xml:space="preserve"> the natural process of establishment of wetland ecosystems on strip-mine lakes has been very slow. Through restoration activities, it would be possible to achieve different types of benefits for both people and biological diversity. In addition to all of the familiar services provided by wetland ecosystems (e.g. water purification, intake of CO2 from the atmosphere, ensuring habitats for  globally threatened wetland species, etc.), the restoration activities could also provide jobs, especially for socially vulnerable groups, in development of eco-tourism, aquaculture and other activities.
</t>
        </r>
      </text>
    </comment>
    <comment ref="CK28" authorId="2">
      <text>
        <r>
          <rPr>
            <b/>
            <sz val="9"/>
            <color indexed="81"/>
            <rFont val="Tahoma"/>
            <family val="2"/>
          </rPr>
          <t>Billy Tsekos:</t>
        </r>
        <r>
          <rPr>
            <sz val="9"/>
            <color indexed="81"/>
            <rFont val="Tahoma"/>
            <family val="2"/>
          </rPr>
          <t xml:space="preserve">
</t>
        </r>
        <r>
          <rPr>
            <b/>
            <sz val="9"/>
            <color indexed="81"/>
            <rFont val="Tahoma"/>
            <family val="2"/>
          </rPr>
          <t xml:space="preserve">NBSAP-P.62: </t>
        </r>
        <r>
          <rPr>
            <sz val="9"/>
            <color indexed="81"/>
            <rFont val="Tahoma"/>
            <family val="2"/>
          </rPr>
          <t xml:space="preserve">The most important source of N2O in BiH is agriculture (4.34 Gg7 ). Through many agricultural activities, nitrogen is added into the soil, and this increases the available nitrogen for nitrification and denitrification, which has an influence on the amount of N2O emissions. In addition to agriculture, the energy sector also contributes to the creation of N2O, but seven times less (0.62 Gg).
</t>
        </r>
      </text>
    </comment>
    <comment ref="CN28" authorId="2">
      <text>
        <r>
          <rPr>
            <b/>
            <sz val="9"/>
            <color indexed="81"/>
            <rFont val="Tahoma"/>
            <family val="2"/>
          </rPr>
          <t>Billy Tsekos:</t>
        </r>
        <r>
          <rPr>
            <sz val="9"/>
            <color indexed="81"/>
            <rFont val="Tahoma"/>
            <family val="2"/>
          </rPr>
          <t xml:space="preserve">
</t>
        </r>
        <r>
          <rPr>
            <b/>
            <sz val="9"/>
            <color indexed="81"/>
            <rFont val="Tahoma"/>
            <family val="2"/>
          </rPr>
          <t>NBSAP- P. 62:</t>
        </r>
        <r>
          <rPr>
            <sz val="9"/>
            <color indexed="81"/>
            <rFont val="Tahoma"/>
            <family val="2"/>
          </rPr>
          <t xml:space="preserve"> The most important source of N2O in BiH is agriculture (4.34 Gg7).</t>
        </r>
      </text>
    </comment>
    <comment ref="CT28" authorId="2">
      <text>
        <r>
          <rPr>
            <b/>
            <sz val="9"/>
            <color indexed="81"/>
            <rFont val="Tahoma"/>
            <family val="2"/>
          </rPr>
          <t>Billy Tsekos:
NBSAP- P.133:</t>
        </r>
        <r>
          <rPr>
            <sz val="9"/>
            <color indexed="81"/>
            <rFont val="Tahoma"/>
            <family val="2"/>
          </rPr>
          <t xml:space="preserve">
Strengthening of forest ecosystem functions is of essential importance to the BiH society, and to adaptation to climate change. In the post-war period, forestation drives have not been conducted to the necessary extent. The lack of funding is frequently related to purchase of seedlings, some of which are imported. Although some local capacities are in place, it is needed to intensify the cultivation and planning of indigenous species of trees. The implementation  of this measure requires the following activities: a) prepare the application and secure funding for forestation projects (contributes to Measures 1.2. and 2o.1.), and b) stimulate public for forestation of degraded forest ecosystems through promotional materials. The aforementioned activities should be implemented by the expert team referred to Measure 16.1.
Funding estimate: 1,500,000 KM for the period of 2017-2020
</t>
        </r>
      </text>
    </comment>
    <comment ref="CW28" authorId="2">
      <text>
        <r>
          <rPr>
            <b/>
            <sz val="9"/>
            <color indexed="81"/>
            <rFont val="Tahoma"/>
            <family val="2"/>
          </rPr>
          <t>Billy Tsekos:</t>
        </r>
        <r>
          <rPr>
            <sz val="9"/>
            <color indexed="81"/>
            <rFont val="Tahoma"/>
            <family val="2"/>
          </rPr>
          <t xml:space="preserve">
</t>
        </r>
        <r>
          <rPr>
            <b/>
            <sz val="9"/>
            <color indexed="81"/>
            <rFont val="Tahoma"/>
            <family val="2"/>
          </rPr>
          <t>NBSAP-P.73:</t>
        </r>
        <r>
          <rPr>
            <sz val="9"/>
            <color indexed="81"/>
            <rFont val="Tahoma"/>
            <family val="2"/>
          </rPr>
          <t xml:space="preserve"> In BiH, there are 23 areas that are officially protected (forest ecosystems for the most part) (Table 20), covering the territory of 100,455.02 ha, constituting 1.96 %. The percentage of protected areas increased from 0.55% in 2003 to 1.96% in 2014, however it is still a small area size in relation to the global level (17 %) and regional level</t>
        </r>
      </text>
    </comment>
    <comment ref="EQ28" authorId="1">
      <text>
        <r>
          <rPr>
            <b/>
            <sz val="9"/>
            <color indexed="81"/>
            <rFont val="Tahoma"/>
            <family val="2"/>
          </rPr>
          <t>billy.tsekos:</t>
        </r>
        <r>
          <rPr>
            <sz val="9"/>
            <color indexed="81"/>
            <rFont val="Tahoma"/>
            <family val="2"/>
          </rPr>
          <t xml:space="preserve">
</t>
        </r>
        <r>
          <rPr>
            <sz val="10"/>
            <color indexed="81"/>
            <rFont val="Times New Roman"/>
            <family val="1"/>
          </rPr>
          <t>Based on its national circumstances, development stage, sustainable development strategy and international responsibility, China has nationally determined its actions by 2030 as follows:
• To achieve the peaking of carbon dioxide emissions around 2030 and making
best efforts to peak early;
• To lower carbon dioxide emissions per unit of GDP by 60% to 65% from the
2005 level;
• To increase the share of non-fossil fuels in primary energy consumption to
around 20%; and
• To increase the forest stock volume by around 4.5 billion cubic meters on the
2005 level.</t>
        </r>
        <r>
          <rPr>
            <sz val="9"/>
            <color indexed="81"/>
            <rFont val="Tahoma"/>
            <family val="2"/>
          </rPr>
          <t xml:space="preserve">
</t>
        </r>
      </text>
    </comment>
    <comment ref="ER28" authorId="0">
      <text>
        <r>
          <rPr>
            <b/>
            <sz val="9"/>
            <color indexed="81"/>
            <rFont val="Tahoma"/>
            <family val="2"/>
          </rPr>
          <t>NR- P. 28:</t>
        </r>
        <r>
          <rPr>
            <sz val="9"/>
            <color indexed="81"/>
            <rFont val="Tahoma"/>
            <family val="2"/>
          </rPr>
          <t xml:space="preserve">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r>
      </text>
    </comment>
    <comment ref="ET28" authorId="0">
      <text>
        <r>
          <rPr>
            <b/>
            <sz val="9"/>
            <color indexed="81"/>
            <rFont val="Tahoma"/>
            <family val="2"/>
          </rPr>
          <t xml:space="preserve">(NR-P. 31) 
</t>
        </r>
        <r>
          <rPr>
            <sz val="9"/>
            <color indexed="81"/>
            <rFont val="Tahoma"/>
            <family val="2"/>
          </rPr>
          <t>-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t>
        </r>
        <r>
          <rPr>
            <b/>
            <sz val="9"/>
            <color indexed="81"/>
            <rFont val="Tahoma"/>
            <family val="2"/>
          </rPr>
          <t xml:space="preserve">. </t>
        </r>
      </text>
    </comment>
    <comment ref="BI29" authorId="0">
      <text>
        <r>
          <rPr>
            <sz val="9"/>
            <color indexed="81"/>
            <rFont val="Tahoma"/>
            <family val="2"/>
          </rPr>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text>
    </comment>
    <comment ref="ER29"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 xml:space="preserve">By 2016, every sector of society, particularly local communities and their networks, significantly increase their participation in the conservation, restoration and sustainable use of biodiversity.
</t>
        </r>
        <r>
          <rPr>
            <b/>
            <sz val="9"/>
            <color indexed="81"/>
            <rFont val="Tahoma"/>
            <family val="2"/>
          </rPr>
          <t xml:space="preserve">
NR-P.99: </t>
        </r>
        <r>
          <rPr>
            <sz val="9"/>
            <color indexed="81"/>
            <rFont val="Tahoma"/>
            <family val="2"/>
          </rPr>
          <t xml:space="preserve">By 2016, the rate of habitat loss, including forestlands, is reduced.
</t>
        </r>
        <r>
          <rPr>
            <b/>
            <sz val="9"/>
            <color indexed="81"/>
            <rFont val="Tahoma"/>
            <family val="2"/>
          </rPr>
          <t>NR-P.99:</t>
        </r>
        <r>
          <rPr>
            <sz val="9"/>
            <color indexed="81"/>
            <rFont val="Tahoma"/>
            <family val="2"/>
          </rPr>
          <t xml:space="preserve"> By 2016, effectiveness in managing wetlands is increased at all levels.
</t>
        </r>
        <r>
          <rPr>
            <b/>
            <sz val="9"/>
            <color indexed="81"/>
            <rFont val="Tahoma"/>
            <family val="2"/>
          </rPr>
          <t xml:space="preserve">NR-P.99: </t>
        </r>
        <r>
          <rPr>
            <sz val="9"/>
            <color indexed="81"/>
            <rFont val="Tahoma"/>
            <family val="2"/>
          </rPr>
          <t>By 2020, the rate of habitat loss, including forestlands, is reduced by 50%.</t>
        </r>
      </text>
    </comment>
    <comment ref="ET29"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By 2021, the loss of wetland ecosystem is significantly reduced in order to enable ecosystem services and facilitate ecosystem-based adaption to climate change.</t>
        </r>
      </text>
    </comment>
    <comment ref="Z30" authorId="0">
      <text>
        <r>
          <rPr>
            <sz val="9"/>
            <color indexed="81"/>
            <rFont val="Tahoma"/>
            <family val="2"/>
          </rPr>
          <t xml:space="preserve">distribution of land use classes in 2008 and 2010, p 22 
For all other biomes 2002, 2008-2009
</t>
        </r>
      </text>
    </comment>
    <comment ref="AO30" authorId="0">
      <text>
        <r>
          <rPr>
            <b/>
            <sz val="9"/>
            <color indexed="81"/>
            <rFont val="Tahoma"/>
            <family val="2"/>
          </rPr>
          <t>DEGRAD system (Sistema de Mapeamento da Degradação Florestal na
Amazônia Brasileira) that monitors forest degradation, in addition to the TerraClass
analysis on land use change in previously deforested areas.</t>
        </r>
      </text>
    </comment>
    <comment ref="AV30" authorId="0">
      <text>
        <r>
          <rPr>
            <b/>
            <sz val="9"/>
            <color indexed="81"/>
            <rFont val="Tahoma"/>
            <family val="2"/>
          </rPr>
          <t xml:space="preserve">Water quality index p 41
</t>
        </r>
      </text>
    </comment>
    <comment ref="BA30" authorId="0">
      <text>
        <r>
          <rPr>
            <sz val="9"/>
            <color indexed="81"/>
            <rFont val="Tahoma"/>
            <family val="2"/>
          </rPr>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r>
      </text>
    </comment>
    <comment ref="BC30" authorId="0">
      <text>
        <r>
          <rPr>
            <b/>
            <sz val="9"/>
            <color indexed="81"/>
            <rFont val="Tahoma"/>
            <family val="2"/>
          </rPr>
          <t>&gt;50%, as much as possible 0</t>
        </r>
      </text>
    </comment>
    <comment ref="BD30" authorId="0">
      <text>
        <r>
          <rPr>
            <b/>
            <sz val="9"/>
            <color indexed="81"/>
            <rFont val="Tahoma"/>
            <family val="2"/>
          </rPr>
          <t xml:space="preserve">2020
</t>
        </r>
      </text>
    </comment>
    <comment ref="BE30" authorId="0">
      <text>
        <r>
          <rPr>
            <b/>
            <sz val="9"/>
            <color indexed="81"/>
            <rFont val="Tahoma"/>
            <family val="2"/>
          </rPr>
          <t xml:space="preserve">2009
</t>
        </r>
      </text>
    </comment>
    <comment ref="BF30" authorId="0">
      <text>
        <r>
          <rPr>
            <b/>
            <sz val="9"/>
            <color indexed="81"/>
            <rFont val="Tahoma"/>
            <family val="2"/>
          </rPr>
          <t>priority areas for biodiversity conservation, p30</t>
        </r>
        <r>
          <rPr>
            <sz val="9"/>
            <color indexed="81"/>
            <rFont val="Tahoma"/>
            <family val="2"/>
          </rPr>
          <t xml:space="preserve">
native habitats
(but that's the same as natural habitats?)
</t>
        </r>
      </text>
    </comment>
    <comment ref="BI30" authorId="0">
      <text>
        <r>
          <rPr>
            <sz val="9"/>
            <color indexed="81"/>
            <rFont val="Tahoma"/>
            <family val="2"/>
          </rPr>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r>
      </text>
    </comment>
    <comment ref="BT30" authorId="0">
      <text>
        <r>
          <rPr>
            <b/>
            <sz val="9"/>
            <color indexed="81"/>
            <rFont val="Tahoma"/>
            <family val="2"/>
          </rPr>
          <t>Pact for the Restoration of the Atlantic Forest146
Launched in 2009, the Pact is a collective effort for the large scale restoration of the
Atlantic Forest, involving the participation of non-governmental organizations,
governmental agencies at the three administrative levels, rural land owners, traditional
communities, cooperatives and associations. The target established for the Pact is to
restore 15 million hectares of forest by 2050, increasing the vegetation cover of the
Atlantic Forest to over 30% of the original biome. This would also result in the removal
of approximately 200 million tons of atmospheric CO2 per year, storing over 2 billion
tons of CO2 by 2050. Along the first three years of implementation, the partner
organizations produced technical documents to guide actions under the Pact: the
Reference Document on Forest Restoration Concepts and Actions, and the Map of
Potential Areas for Restoration, which mapped 17 million hectares of areas to be
restored. In March 2014 the Monitoring Protocol for Programs and Projects on Forest
Restoration147 was published as one more tool for implementation of the Pact.</t>
        </r>
      </text>
    </comment>
    <comment ref="CJ30" authorId="0">
      <text>
        <r>
          <rPr>
            <b/>
            <sz val="9"/>
            <color indexed="81"/>
            <rFont val="Tahoma"/>
            <family val="2"/>
          </rPr>
          <t>Bioclima Paraná is currently in its initial phase of implementation and its main
challenge will be to engage the various sectors of society. As additional instruments to
achieve the program’s objectives, the state of Paraná intends to implement the state’s
system for Payment for Environmental Services (State Law no 17.134/2012), and
operationalize the mechanism on reduced emissions from deforestation and degradation
(REDD+) and on compensation for carbon emissions, directing the resulting resources
to fund biodiversity conservation actions.</t>
        </r>
      </text>
    </comment>
    <comment ref="CQ30" authorId="0">
      <text>
        <r>
          <rPr>
            <b/>
            <sz val="9"/>
            <color indexed="81"/>
            <rFont val="Tahoma"/>
            <family val="2"/>
          </rPr>
          <t>National Plan is being coordinated by the Adaptation Working Group, led by MMA.
The Biodiversity chapter should include scenarios on current and future impacts of
climate change on biodiversity; ecosystem status; vulnerability; adaptation capacity and
ecosystem-based adaptation (how biodiversity and ecosystems can help with
adaptation); estimated economic losses; as well as directives and recommended actions
for public policies. The completed version of the National Plan for Adaptation to
Climate Change should be available by late 2014.</t>
        </r>
      </text>
    </comment>
    <comment ref="CW30" authorId="0">
      <text>
        <r>
          <rPr>
            <b/>
            <sz val="9"/>
            <color indexed="81"/>
            <rFont val="Tahoma"/>
            <family val="2"/>
          </rPr>
          <t xml:space="preserve">see summary of information on REDD+ safeguards on UNFCCC website
</t>
        </r>
      </text>
    </comment>
    <comment ref="DA30" authorId="5">
      <text>
        <r>
          <rPr>
            <sz val="11"/>
            <color theme="1"/>
            <rFont val="Calibri"/>
            <family val="2"/>
            <scheme val="minor"/>
          </rPr>
          <t>p. 33 and p. 50</t>
        </r>
      </text>
    </comment>
    <comment ref="Z31" authorId="1">
      <text>
        <r>
          <rPr>
            <b/>
            <sz val="9"/>
            <color indexed="81"/>
            <rFont val="Tahoma"/>
            <family val="2"/>
          </rPr>
          <t>billy.tsekos:</t>
        </r>
        <r>
          <rPr>
            <sz val="9"/>
            <color indexed="81"/>
            <rFont val="Tahoma"/>
            <family val="2"/>
          </rPr>
          <t xml:space="preserve">
</t>
        </r>
        <r>
          <rPr>
            <b/>
            <sz val="9"/>
            <color indexed="81"/>
            <rFont val="Tahoma"/>
            <family val="2"/>
          </rPr>
          <t xml:space="preserve">NT-P.9 &amp;10: </t>
        </r>
        <r>
          <rPr>
            <sz val="9"/>
            <color indexed="81"/>
            <rFont val="Tahoma"/>
            <family val="2"/>
          </rPr>
          <t xml:space="preserve">the area coverage of the country’s forests based on functional classifications. 
</t>
        </r>
        <r>
          <rPr>
            <b/>
            <sz val="9"/>
            <color indexed="81"/>
            <rFont val="Tahoma"/>
            <family val="2"/>
          </rPr>
          <t xml:space="preserve">NR- P. 8: </t>
        </r>
        <r>
          <rPr>
            <sz val="9"/>
            <color indexed="81"/>
            <rFont val="Tahoma"/>
            <family val="2"/>
          </rPr>
          <t xml:space="preserve">The national forest reserves constitute 41% of the country’s total land area and are protected by law. The forest structures and composition of these forests remains intact and represent national importance in terms of biological composition, unique landscape, forest production areas, forest recreation areas and other special uses.
</t>
        </r>
        <r>
          <rPr>
            <b/>
            <sz val="9"/>
            <color indexed="81"/>
            <rFont val="Tahoma"/>
            <family val="2"/>
          </rPr>
          <t>NR-P.35:</t>
        </r>
        <r>
          <rPr>
            <sz val="9"/>
            <color indexed="81"/>
            <rFont val="Tahoma"/>
            <family val="2"/>
          </rPr>
          <t xml:space="preserve"> The government of Brunei Darussalam is proud to announce that all its gazetted forest reserves still maintain 100% forest cover and are still in their pristine stage. The country is still in the process of increasing the gazetted forest reserves from 41% to 55% of the total land areas  for more environmental stability.</t>
        </r>
      </text>
    </comment>
    <comment ref="AO31" authorId="1">
      <text>
        <r>
          <rPr>
            <b/>
            <sz val="9"/>
            <color indexed="81"/>
            <rFont val="Tahoma"/>
            <family val="2"/>
          </rPr>
          <t>billy.tsekos:</t>
        </r>
        <r>
          <rPr>
            <sz val="9"/>
            <color indexed="81"/>
            <rFont val="Tahoma"/>
            <family val="2"/>
          </rPr>
          <t xml:space="preserve">
</t>
        </r>
        <r>
          <rPr>
            <b/>
            <sz val="9"/>
            <color indexed="81"/>
            <rFont val="Tahoma"/>
            <family val="2"/>
          </rPr>
          <t xml:space="preserve">NR-P.13: </t>
        </r>
        <r>
          <rPr>
            <sz val="9"/>
            <color indexed="81"/>
            <rFont val="Tahoma"/>
            <family val="2"/>
          </rPr>
          <t>Identified Critical Areas of the Belait Peatswamp forests</t>
        </r>
      </text>
    </comment>
    <comment ref="BL31" authorId="1">
      <text>
        <r>
          <rPr>
            <b/>
            <sz val="9"/>
            <color indexed="81"/>
            <rFont val="Tahoma"/>
            <family val="2"/>
          </rPr>
          <t>billy.tsekos:</t>
        </r>
        <r>
          <rPr>
            <sz val="9"/>
            <color indexed="81"/>
            <rFont val="Tahoma"/>
            <family val="2"/>
          </rPr>
          <t xml:space="preserve">
</t>
        </r>
        <r>
          <rPr>
            <b/>
            <sz val="9"/>
            <color indexed="81"/>
            <rFont val="Tahoma"/>
            <family val="2"/>
          </rPr>
          <t>NR-P.29:</t>
        </r>
        <r>
          <rPr>
            <sz val="9"/>
            <color indexed="81"/>
            <rFont val="Tahoma"/>
            <family val="2"/>
          </rPr>
          <t xml:space="preserve"> The establishment of the Brunei Heart of Borneo (HoB) initiative has strengthened and integrates natural resources conservation and management program of the country. The HoB is composed of multi-sectoral stakeholders coming from government and non-government agencies. Its main objective is to coordinate the sustainable utilization, management, conservation and preservation of the countries limited natural resources. The HoB also caters for the conduct of researches to support resources management and improving institutional governing structures.</t>
        </r>
      </text>
    </comment>
    <comment ref="BP31" authorId="1">
      <text>
        <r>
          <rPr>
            <b/>
            <sz val="9"/>
            <color indexed="81"/>
            <rFont val="Tahoma"/>
            <family val="2"/>
          </rPr>
          <t>billy.tsekos:</t>
        </r>
        <r>
          <rPr>
            <sz val="9"/>
            <color indexed="81"/>
            <rFont val="Tahoma"/>
            <family val="2"/>
          </rPr>
          <t xml:space="preserve">
</t>
        </r>
        <r>
          <rPr>
            <b/>
            <sz val="9"/>
            <color indexed="81"/>
            <rFont val="Tahoma"/>
            <family val="2"/>
          </rPr>
          <t xml:space="preserve">NR-P.28: </t>
        </r>
        <r>
          <rPr>
            <sz val="9"/>
            <color indexed="81"/>
            <rFont val="Tahoma"/>
            <family val="2"/>
          </rPr>
          <t xml:space="preserve">The Belait Peatswamp (BAP) actions will implement reforestation in degraded forest areas with sago planting at Kuala Balai.
</t>
        </r>
        <r>
          <rPr>
            <b/>
            <sz val="9"/>
            <color indexed="81"/>
            <rFont val="Tahoma"/>
            <family val="2"/>
          </rPr>
          <t>NR-P.38:</t>
        </r>
        <r>
          <rPr>
            <sz val="9"/>
            <color indexed="81"/>
            <rFont val="Tahoma"/>
            <family val="2"/>
          </rPr>
          <t>The role of the country’s forest ecosystem in sequestering atmospheric carbon is highly recognized by the government. As such, all timber harvesting and related utilization of forest resources inside the country’s peat swamp forests are not allowed. Brunei peat swamp forests are still in pristine condition and acknowledged to be among the most preserved peat swamp ecosystem in the island of Borneo</t>
        </r>
      </text>
    </comment>
    <comment ref="CW31"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 xml:space="preserve">The government of Brunei Darussalam is committed to preserve and conserve the gazetted forest reserves of the country covering 41% of
the total land area. At present, there is a proposal to further increase the gazetted area by 14% more to improve the ecosystem corridors and composition of the forest reserves. The declared MPAs covering 182.53 sq. kms are highly protected and in close watch of the government law enforcer.
</t>
        </r>
      </text>
    </comment>
    <comment ref="Z32" authorId="2">
      <text>
        <r>
          <rPr>
            <b/>
            <sz val="9"/>
            <color indexed="81"/>
            <rFont val="Tahoma"/>
            <family val="2"/>
          </rPr>
          <t>Billy Tsekos:</t>
        </r>
        <r>
          <rPr>
            <sz val="9"/>
            <color indexed="81"/>
            <rFont val="Tahoma"/>
            <family val="2"/>
          </rPr>
          <t xml:space="preserve">
</t>
        </r>
        <r>
          <rPr>
            <b/>
            <sz val="9"/>
            <color indexed="81"/>
            <rFont val="Tahoma"/>
            <family val="2"/>
          </rPr>
          <t>NR-P.4:</t>
        </r>
        <r>
          <rPr>
            <sz val="9"/>
            <color indexed="81"/>
            <rFont val="Tahoma"/>
            <family val="2"/>
          </rPr>
          <t xml:space="preserve">According to the National Priority Actions Framework for Natura 2000 the total area of the network is 4 053 941.44 ha of which 56.47% are forests, 32.35% agricultural land and the rest is other types of land. Cultivated land, pastures and meadows are the prevailing types of agricultural land in NATURA 2000 network.
</t>
        </r>
        <r>
          <rPr>
            <b/>
            <sz val="9"/>
            <color indexed="81"/>
            <rFont val="Tahoma"/>
            <family val="2"/>
          </rPr>
          <t>NR-P.65:</t>
        </r>
        <r>
          <rPr>
            <sz val="9"/>
            <color indexed="81"/>
            <rFont val="Tahoma"/>
            <family val="2"/>
          </rPr>
          <t xml:space="preserve"> Ratio between forest, agricultural and urban areas per administrative district
</t>
        </r>
      </text>
    </comment>
    <comment ref="AH32" authorId="2">
      <text>
        <r>
          <rPr>
            <b/>
            <sz val="9"/>
            <color indexed="81"/>
            <rFont val="Tahoma"/>
            <family val="2"/>
          </rPr>
          <t>Billy Tsekos:</t>
        </r>
        <r>
          <rPr>
            <sz val="9"/>
            <color indexed="81"/>
            <rFont val="Tahoma"/>
            <family val="2"/>
          </rPr>
          <t xml:space="preserve">
</t>
        </r>
        <r>
          <rPr>
            <b/>
            <sz val="9"/>
            <color indexed="81"/>
            <rFont val="Tahoma"/>
            <family val="2"/>
          </rPr>
          <t xml:space="preserve">NR-P.76: </t>
        </r>
        <r>
          <rPr>
            <sz val="9"/>
            <color indexed="81"/>
            <rFont val="Tahoma"/>
            <family val="2"/>
          </rPr>
          <t xml:space="preserve">The indicator Proportion of areas with anthropogenic impact (infrastructure, residential areas, industrial sites) (Fig. 25) is used to assess the degree of anthropogenic pressure, causing degradation of natural habitats and accelerating biodiversity loss, and what changes in regional planning are required. The results show that </t>
        </r>
        <r>
          <rPr>
            <b/>
            <sz val="9"/>
            <color indexed="81"/>
            <rFont val="Tahoma"/>
            <family val="2"/>
          </rPr>
          <t>the areas with anthropogenic impact are 5% of the total territory of the country</t>
        </r>
      </text>
    </comment>
    <comment ref="AO32" authorId="2">
      <text>
        <r>
          <rPr>
            <b/>
            <sz val="9"/>
            <color indexed="81"/>
            <rFont val="Tahoma"/>
            <family val="2"/>
          </rPr>
          <t>Billy Tsekos:</t>
        </r>
        <r>
          <rPr>
            <sz val="9"/>
            <color indexed="81"/>
            <rFont val="Tahoma"/>
            <family val="2"/>
          </rPr>
          <t xml:space="preserve">
</t>
        </r>
        <r>
          <rPr>
            <b/>
            <sz val="9"/>
            <color indexed="81"/>
            <rFont val="Tahoma"/>
            <family val="2"/>
          </rPr>
          <t xml:space="preserve">NR-P.66: Fig.20 </t>
        </r>
        <r>
          <rPr>
            <sz val="9"/>
            <color indexed="81"/>
            <rFont val="Tahoma"/>
            <family val="2"/>
          </rPr>
          <t xml:space="preserve">Part of the territory of Bulgaria with high and very high risk of water erosion in 2013 </t>
        </r>
      </text>
    </comment>
    <comment ref="AV32"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 xml:space="preserve">Soil erosion is another process that causes degradation and loss of habitats and biodiversity. The combination of specific natural and economic conditions in Bulgaria is a prerequisite for a high risk of degradation processes of soil used in agriculture. The most common processes of soil degradation include: water and wind erosion, pollution, reduced stocks of organic matter (humus), compaction, acidification, salinisation, hence consequent loss of biodiversity. More than 60% of the country is affected by erosion to a different extent and 11.8% of the country’s land is eroded. About 65% of the agricultural land is threatened by water erosion and about 24% by wind erosion.
</t>
        </r>
        <r>
          <rPr>
            <b/>
            <sz val="9"/>
            <color indexed="81"/>
            <rFont val="Tahoma"/>
            <family val="2"/>
          </rPr>
          <t>NR-P.73:</t>
        </r>
        <r>
          <rPr>
            <sz val="9"/>
            <color indexed="81"/>
            <rFont val="Tahoma"/>
            <family val="2"/>
          </rPr>
          <t xml:space="preserve"> Forest damages caused by fires are estimated, taking into account the annual number of fires and the forest area affected by them. For example, in 2012, there were 876 fires with 12 730 ha of affected areas</t>
        </r>
      </text>
    </comment>
    <comment ref="BH32"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To assess the implementation of the objectives of reducing the loss and fragmentation of natural habitats, incl. forests, the following indicators have been used: Ratio of forest, agricultural and urbanized areas; Share of the country with high risk of erosion; Quantitative status of surface waters; Species composition, abundance and distribution of the ichthyofauna in the river basins and Most significant summer underground bat habitats in Bulgaria.</t>
        </r>
      </text>
    </comment>
    <comment ref="BL32" authorId="2">
      <text>
        <r>
          <rPr>
            <b/>
            <sz val="9"/>
            <color indexed="81"/>
            <rFont val="Tahoma"/>
            <family val="2"/>
          </rPr>
          <t>Billy Tsekos:</t>
        </r>
        <r>
          <rPr>
            <sz val="9"/>
            <color indexed="81"/>
            <rFont val="Tahoma"/>
            <family val="2"/>
          </rPr>
          <t xml:space="preserve">
</t>
        </r>
        <r>
          <rPr>
            <b/>
            <sz val="9"/>
            <color indexed="81"/>
            <rFont val="Tahoma"/>
            <family val="2"/>
          </rPr>
          <t>NR-P.96:</t>
        </r>
        <r>
          <rPr>
            <sz val="9"/>
            <color indexed="81"/>
            <rFont val="Tahoma"/>
            <family val="2"/>
          </rPr>
          <t xml:space="preserve"> Another group of measures aims at the conservation of carbon stocks in forests. In this priority axis are envisaged activities that aim primarily at maintaining and improving the condition of forests as a carbon depot:
* Restoration and maintenance of forest belts and making new anti-erosion forestation;
* Supporting the protection and maintenance of forests with high conservation value and implementation of extensive approach to their use;
* Preservation and improvement of urban and suburban parks;
* Prevention of forest fires through the introduction of early warning systems.</t>
        </r>
      </text>
    </comment>
    <comment ref="BP32" authorId="2">
      <text>
        <r>
          <rPr>
            <b/>
            <sz val="9"/>
            <color indexed="81"/>
            <rFont val="Tahoma"/>
            <family val="2"/>
          </rPr>
          <t>Billy Tsekos:</t>
        </r>
        <r>
          <rPr>
            <sz val="9"/>
            <color indexed="81"/>
            <rFont val="Tahoma"/>
            <family val="2"/>
          </rPr>
          <t xml:space="preserve">
</t>
        </r>
        <r>
          <rPr>
            <b/>
            <sz val="9"/>
            <color indexed="81"/>
            <rFont val="Tahoma"/>
            <family val="2"/>
          </rPr>
          <t xml:space="preserve">NR-P.63: </t>
        </r>
        <r>
          <rPr>
            <sz val="9"/>
            <color indexed="81"/>
            <rFont val="Tahoma"/>
            <family val="2"/>
          </rPr>
          <t xml:space="preserve">The measures from the National Strategy for Sustainable Development of Forestry Sector 2006–2015 and the Strategic Plan for the Development of the Forestry Sector 2007–2011 have been implemented in the forestry sector. A new National Strategy for the Development of the Forestry Sector in R. Bulgaria for the period 2013–2020 has been elaborated. It contains four priorities and 20 measures. In implementing the priority of maintaining healthy, productive and multifunctional forest ecosystems, contributing to the mitigation of climate change, are envisaged the following measures and activities aimed at the conservation and sustainable use of forest resources:
 Increase of woodlands, the tree stock and the carbon stock in forest areas – through afforestation of abandoned agricultural lands, deforested areas, eroded and threatened by erosion areas;
 Improvement of the forest management – it will help to maintain vibrant and multifunctional forest ecosystems, to increase the productivity of forests, to improve their resistance to diseases, pests, natural disasters and other biotic and abiotic factors;
 Increasing of the efficiency of forest fire prevention and combating illegal activities in the forests
</t>
        </r>
        <r>
          <rPr>
            <b/>
            <sz val="9"/>
            <color indexed="81"/>
            <rFont val="Tahoma"/>
            <family val="2"/>
          </rPr>
          <t xml:space="preserve">
NR-P.96: </t>
        </r>
        <r>
          <rPr>
            <sz val="9"/>
            <color indexed="81"/>
            <rFont val="Tahoma"/>
            <family val="2"/>
          </rPr>
          <t>The main direct measures are:
 Use of ‘treeless areas for afforestation’ in forest areas;
 Afforestation of areas of abandoned farmland, bare, eroded and threatened by erosion areas outside forest areas;
 Increase of the area of urban and rural parks and green areas;
 Restoration and sustainable management of wetlands, conservation and preservation of wetlands in forest areas, bogs, fens.</t>
        </r>
      </text>
    </comment>
    <comment ref="BX32"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 xml:space="preserve">Biodiversity is subject to various businesses. The forest resources are threatened by non-regulated timber exploitation, poaching, illegal export of herbs and fungi, unregulated grazing.
</t>
        </r>
        <r>
          <rPr>
            <b/>
            <sz val="9"/>
            <color indexed="81"/>
            <rFont val="Tahoma"/>
            <family val="2"/>
          </rPr>
          <t>NR-P.76:</t>
        </r>
        <r>
          <rPr>
            <sz val="9"/>
            <color indexed="81"/>
            <rFont val="Tahoma"/>
            <family val="2"/>
          </rPr>
          <t xml:space="preserve">Fig. 25. Proportion of areas with anthropogenic impact (% of the total area)
</t>
        </r>
        <r>
          <rPr>
            <b/>
            <sz val="9"/>
            <color indexed="81"/>
            <rFont val="Tahoma"/>
            <family val="2"/>
          </rPr>
          <t>NR-P.67:</t>
        </r>
        <r>
          <rPr>
            <sz val="9"/>
            <color indexed="81"/>
            <rFont val="Tahoma"/>
            <family val="2"/>
          </rPr>
          <t xml:space="preserve"> Fig. 21. Part of the territory of Bulgaria with moderate and moderate to high risk of wind erosion of the soil in 2013 (at district level) (Source: MRDPW).
</t>
        </r>
      </text>
    </comment>
    <comment ref="CC32" authorId="2">
      <text>
        <r>
          <rPr>
            <b/>
            <sz val="9"/>
            <color indexed="81"/>
            <rFont val="Tahoma"/>
            <family val="2"/>
          </rPr>
          <t>Billy Tsekos:</t>
        </r>
        <r>
          <rPr>
            <sz val="9"/>
            <color indexed="81"/>
            <rFont val="Tahoma"/>
            <family val="2"/>
          </rPr>
          <t xml:space="preserve">
</t>
        </r>
        <r>
          <rPr>
            <b/>
            <sz val="9"/>
            <color indexed="81"/>
            <rFont val="Tahoma"/>
            <family val="2"/>
          </rPr>
          <t xml:space="preserve">NR-P.82: </t>
        </r>
        <r>
          <rPr>
            <sz val="9"/>
            <color indexed="81"/>
            <rFont val="Tahoma"/>
            <family val="2"/>
          </rPr>
          <t>Achieving this goal is in line with the following measures from the National Biodiversity Conservation Plan 2005–2010:
* Assessment of threats [for biodiversity] and exploring of mechanisms to limit/eliminate their negative impact;
* Study of the effects of climate change on biodiversity and measures to mitigate them;
*Assessment of the impacts of desertification and land degradation on biodiversity and mitigation of their consequences</t>
        </r>
      </text>
    </comment>
    <comment ref="CP32" authorId="2">
      <text>
        <r>
          <rPr>
            <b/>
            <sz val="9"/>
            <color indexed="81"/>
            <rFont val="Tahoma"/>
            <family val="2"/>
          </rPr>
          <t>Billy Tsekos:</t>
        </r>
        <r>
          <rPr>
            <sz val="9"/>
            <color indexed="81"/>
            <rFont val="Tahoma"/>
            <family val="2"/>
          </rPr>
          <t xml:space="preserve">
</t>
        </r>
        <r>
          <rPr>
            <b/>
            <sz val="9"/>
            <color indexed="81"/>
            <rFont val="Tahoma"/>
            <family val="2"/>
          </rPr>
          <t xml:space="preserve">NR-P.13: </t>
        </r>
        <r>
          <rPr>
            <sz val="9"/>
            <color indexed="81"/>
            <rFont val="Tahoma"/>
            <family val="2"/>
          </rPr>
          <t xml:space="preserve">Spatial planning and the EIA not only when biodiversity issues are concerned but also when environmental protection and sustainability is considered. This will help to create synergies and achieve biodiversity protection, connectivity of wildlife corridors and increase the resilience of the ecosystems. </t>
        </r>
      </text>
    </comment>
    <comment ref="CQ32" authorId="2">
      <text>
        <r>
          <rPr>
            <b/>
            <sz val="9"/>
            <color indexed="81"/>
            <rFont val="Tahoma"/>
            <family val="2"/>
          </rPr>
          <t>Billy Tsekos:</t>
        </r>
        <r>
          <rPr>
            <sz val="9"/>
            <color indexed="81"/>
            <rFont val="Tahoma"/>
            <family val="2"/>
          </rPr>
          <t xml:space="preserve">
</t>
        </r>
        <r>
          <rPr>
            <b/>
            <sz val="9"/>
            <color indexed="81"/>
            <rFont val="Tahoma"/>
            <family val="2"/>
          </rPr>
          <t xml:space="preserve">NR-P.96: </t>
        </r>
        <r>
          <rPr>
            <sz val="9"/>
            <color indexed="81"/>
            <rFont val="Tahoma"/>
            <family val="2"/>
          </rPr>
          <t xml:space="preserve">In accordance with the Strategic Plan for the Development of the Forestry Sector 2007–2011 was developed and is implemented a Program of Measures for Adaptation of Forests in Bulgaria and Reduction of the Negative Impact of Climate Change (2011). The program includes a total of 106 measures for forest ecosystems with varying degrees of vulnerability to climate change – 50 measures for Zone A (ecosystems with very high level of vulnerability), 26 for Zone B (high vulnerability), 19 for Zone B (moderate vulnerability) and 11 in Zone D (low vulnerability).
A National Strategy for Adaptation to Climate Change is in preparation in order to establish the necessary adaptation measures in sensitive sectors to abnormal temperatures in the region and climate zone. The presence of unusual climatic characteristics necessitates the adaptation of forests, vegetation, food crops and animal species.
</t>
        </r>
      </text>
    </comment>
    <comment ref="CV32" authorId="2">
      <text>
        <r>
          <rPr>
            <b/>
            <sz val="9"/>
            <color indexed="81"/>
            <rFont val="Tahoma"/>
            <family val="2"/>
          </rPr>
          <t>Billy Tsekos:</t>
        </r>
        <r>
          <rPr>
            <sz val="9"/>
            <color indexed="81"/>
            <rFont val="Tahoma"/>
            <family val="2"/>
          </rPr>
          <t xml:space="preserve">
</t>
        </r>
        <r>
          <rPr>
            <b/>
            <sz val="9"/>
            <color indexed="81"/>
            <rFont val="Tahoma"/>
            <family val="2"/>
          </rPr>
          <t xml:space="preserve">NR-P.98: </t>
        </r>
        <r>
          <rPr>
            <sz val="9"/>
            <color indexed="81"/>
            <rFont val="Tahoma"/>
            <family val="2"/>
          </rPr>
          <t>Measures of the National Action Program on Sustainable Land Management and Combating Desertification in Bulgaria 2007–2013 are implemented</t>
        </r>
      </text>
    </comment>
    <comment ref="CW32" authorId="2">
      <text>
        <r>
          <rPr>
            <b/>
            <sz val="9"/>
            <color indexed="81"/>
            <rFont val="Tahoma"/>
            <family val="2"/>
          </rPr>
          <t>Billy Tsekos:</t>
        </r>
        <r>
          <rPr>
            <sz val="9"/>
            <color indexed="81"/>
            <rFont val="Tahoma"/>
            <family val="2"/>
          </rPr>
          <t xml:space="preserve">
</t>
        </r>
        <r>
          <rPr>
            <b/>
            <sz val="9"/>
            <color indexed="81"/>
            <rFont val="Tahoma"/>
            <family val="2"/>
          </rPr>
          <t>NR-P.85:</t>
        </r>
        <r>
          <rPr>
            <sz val="9"/>
            <color indexed="81"/>
            <rFont val="Tahoma"/>
            <family val="2"/>
          </rPr>
          <t xml:space="preserve"> Fig. 27. Changes in the number and territory of protected areas in the period 1992–2013
</t>
        </r>
        <r>
          <rPr>
            <b/>
            <sz val="9"/>
            <color indexed="81"/>
            <rFont val="Tahoma"/>
            <family val="2"/>
          </rPr>
          <t xml:space="preserve">NR-P.67: </t>
        </r>
        <r>
          <rPr>
            <sz val="9"/>
            <color indexed="81"/>
            <rFont val="Tahoma"/>
            <family val="2"/>
          </rPr>
          <t>The National Plan for the Protection of the Most Important Wetlands in Bulgaria 2013–2022 has been elaborated in order to achieve a long-term conservation and sustainable use of wetlands. The Plan covers 11 wetlands listed in the Ramsar Convention, and 25 additional wetlands that have great potential for conservation and restoration. All wetlands in the Plan are within the Natura 2000 network. The horizontal and specific measures from the Plan are expected to be implemented within 10 years</t>
        </r>
      </text>
    </comment>
    <comment ref="ER32" authorId="1">
      <text>
        <r>
          <rPr>
            <b/>
            <sz val="9"/>
            <color indexed="81"/>
            <rFont val="Tahoma"/>
            <family val="2"/>
          </rPr>
          <t>billy.tsekos:</t>
        </r>
        <r>
          <rPr>
            <sz val="9"/>
            <color indexed="81"/>
            <rFont val="Tahoma"/>
            <family val="2"/>
          </rPr>
          <t xml:space="preserve">
</t>
        </r>
        <r>
          <rPr>
            <b/>
            <sz val="9"/>
            <color indexed="81"/>
            <rFont val="Tahoma"/>
            <family val="2"/>
          </rPr>
          <t>NR- P.45: GOALS</t>
        </r>
        <r>
          <rPr>
            <sz val="9"/>
            <color indexed="81"/>
            <rFont val="Tahoma"/>
            <family val="2"/>
          </rPr>
          <t xml:space="preserve">
• Conservation/Protection Forest Rehabilitation (KPL)
• Establishment of City Forest
• Mangrove/Coastal Forest Rehabilitation
• Critical land rehabilitation
</t>
        </r>
        <r>
          <rPr>
            <b/>
            <sz val="9"/>
            <color indexed="81"/>
            <rFont val="Tahoma"/>
            <family val="2"/>
          </rPr>
          <t xml:space="preserve">NR- P.45:Achievemnts:
</t>
        </r>
        <r>
          <rPr>
            <sz val="9"/>
            <color indexed="81"/>
            <rFont val="Tahoma"/>
            <family val="2"/>
          </rPr>
          <t xml:space="preserve">
Total realization from 2010- 2013 is 1.852.692 ha, with target by 2014 up to 2.5 million hectares</t>
        </r>
      </text>
    </comment>
    <comment ref="ET32" authorId="1">
      <text>
        <r>
          <rPr>
            <b/>
            <sz val="9"/>
            <color indexed="81"/>
            <rFont val="Tahoma"/>
            <family val="2"/>
          </rPr>
          <t>billy.tsekos:</t>
        </r>
        <r>
          <rPr>
            <sz val="9"/>
            <color indexed="81"/>
            <rFont val="Tahoma"/>
            <family val="2"/>
          </rPr>
          <t xml:space="preserve">
</t>
        </r>
        <r>
          <rPr>
            <b/>
            <sz val="9"/>
            <color indexed="81"/>
            <rFont val="Tahoma"/>
            <family val="2"/>
          </rPr>
          <t>NR- P.35:GOAL:</t>
        </r>
        <r>
          <rPr>
            <sz val="9"/>
            <color indexed="81"/>
            <rFont val="Tahoma"/>
            <family val="2"/>
          </rPr>
          <t xml:space="preserve">
Conduct efforts for reducing GHG emission from deforestation, forest and peatland degradation (REDD) to minimize global warming impact on environmental degradation
</t>
        </r>
        <r>
          <rPr>
            <b/>
            <sz val="9"/>
            <color indexed="81"/>
            <rFont val="Tahoma"/>
            <family val="2"/>
          </rPr>
          <t xml:space="preserve">
Achievements</t>
        </r>
        <r>
          <rPr>
            <sz val="9"/>
            <color indexed="81"/>
            <rFont val="Tahoma"/>
            <family val="2"/>
          </rPr>
          <t xml:space="preserve">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r>
      </text>
    </comment>
    <comment ref="H33" authorId="2">
      <text>
        <r>
          <rPr>
            <b/>
            <sz val="9"/>
            <color indexed="81"/>
            <rFont val="Calibri"/>
            <family val="2"/>
          </rPr>
          <t>Billy Tsekos:</t>
        </r>
        <r>
          <rPr>
            <sz val="9"/>
            <color indexed="81"/>
            <rFont val="Calibri"/>
            <family val="2"/>
          </rPr>
          <t xml:space="preserve">
2011</t>
        </r>
      </text>
    </comment>
    <comment ref="W33" authorId="2">
      <text>
        <r>
          <rPr>
            <b/>
            <sz val="9"/>
            <color indexed="81"/>
            <rFont val="Tahoma"/>
            <family val="2"/>
          </rPr>
          <t>P.7 -</t>
        </r>
        <r>
          <rPr>
            <sz val="9"/>
            <color indexed="81"/>
            <rFont val="Tahoma"/>
            <family val="2"/>
          </rPr>
          <t xml:space="preserve"> Table 4. Overall trend evaluation of GHG status from 2007 to 2030
This results in a Mitigation component that has taken into consideration only the activities that lead to credited emission results, the objectives of which have been oriented from the start toward the reduction of greenhouse gas emissions and in particular the carbon equivalent. One example of these initiatives is represented by the REDD + / FIP, the NAMA initiative and the potential CDM projects in the growth sectors such as mining. These initiatives, dedicated principally to the reduction of greenhouse gas, make up the Conditional Hybrid Mitigation / (Adaptation) scenario.</t>
        </r>
      </text>
    </comment>
    <comment ref="Z33" authorId="2">
      <text>
        <r>
          <rPr>
            <b/>
            <sz val="9"/>
            <color indexed="81"/>
            <rFont val="Tahoma"/>
            <family val="2"/>
          </rPr>
          <t>Billy Tsekos:</t>
        </r>
        <r>
          <rPr>
            <sz val="9"/>
            <color indexed="81"/>
            <rFont val="Tahoma"/>
            <family val="2"/>
          </rPr>
          <t xml:space="preserve">
</t>
        </r>
        <r>
          <rPr>
            <b/>
            <sz val="9"/>
            <color indexed="81"/>
            <rFont val="Tahoma"/>
            <family val="2"/>
          </rPr>
          <t>NR-P.28:</t>
        </r>
        <r>
          <rPr>
            <sz val="9"/>
            <color indexed="81"/>
            <rFont val="Tahoma"/>
            <family val="2"/>
          </rPr>
          <t xml:space="preserve"> Les forêts au Burkina Faso couvrent une superficie de 13,3 millions d’ha réparties en domaine classé (25%) et en domaine protégé (75%). </t>
        </r>
      </text>
    </comment>
    <comment ref="AH33" authorId="2">
      <text>
        <r>
          <rPr>
            <b/>
            <sz val="9"/>
            <color indexed="81"/>
            <rFont val="Tahoma"/>
            <family val="2"/>
          </rPr>
          <t xml:space="preserve">Billy Tsekos:
NR- P29: </t>
        </r>
        <r>
          <rPr>
            <sz val="9"/>
            <color indexed="81"/>
            <rFont val="Tahoma"/>
            <family val="2"/>
          </rPr>
          <t xml:space="preserve">La FAO a estimé la diminution de la couverture végétale pendant les 20 dernières années (1990-2010) à un </t>
        </r>
        <r>
          <rPr>
            <b/>
            <sz val="9"/>
            <color indexed="81"/>
            <rFont val="Tahoma"/>
            <family val="2"/>
          </rPr>
          <t xml:space="preserve">rythme moyen de 1% par an </t>
        </r>
        <r>
          <rPr>
            <sz val="9"/>
            <color indexed="81"/>
            <rFont val="Tahoma"/>
            <family val="2"/>
          </rPr>
          <t>avec des taux variables selon les périodes. Dans le cadre de l’élaboration du présent rapport, l’évolution du couvert végétal a été de nouveau estimée entre 2007 et 2012 à la période d’installation maximale de la végétation (fin septembre) au niveau de cinq classes de couverture végétale. L’étude a été réalisée sur cartographie à partir de l’indicateur « fraction de couvert (FCOVER) qui est la fraction du couvert végétale verte couvrant une surface. L’étude a révélé que les classes de forte couverture végétale et de très forte couverture ont des taux de variation négatifs (-11,48% et -17, 42% respectivement) (cf. tableau 7et figure 8).</t>
        </r>
        <r>
          <rPr>
            <b/>
            <sz val="9"/>
            <color indexed="81"/>
            <rFont val="Tahoma"/>
            <family val="2"/>
          </rPr>
          <t xml:space="preserve">
</t>
        </r>
        <r>
          <rPr>
            <sz val="9"/>
            <color indexed="81"/>
            <rFont val="Tahoma"/>
            <family val="2"/>
          </rPr>
          <t xml:space="preserve">
</t>
        </r>
        <r>
          <rPr>
            <b/>
            <sz val="9"/>
            <color indexed="81"/>
            <rFont val="Tahoma"/>
            <family val="2"/>
          </rPr>
          <t>NR- P29: Tableau 7:</t>
        </r>
        <r>
          <rPr>
            <sz val="9"/>
            <color indexed="81"/>
            <rFont val="Tahoma"/>
            <family val="2"/>
          </rPr>
          <t xml:space="preserve"> Evolution de la superficie des classes de couverture végétale entre 2007 et 2012
</t>
        </r>
        <r>
          <rPr>
            <b/>
            <sz val="9"/>
            <color indexed="81"/>
            <rFont val="Tahoma"/>
            <family val="2"/>
          </rPr>
          <t>NR- P28:</t>
        </r>
        <r>
          <rPr>
            <sz val="9"/>
            <color indexed="81"/>
            <rFont val="Tahoma"/>
            <family val="2"/>
          </rPr>
          <t xml:space="preserve"> Etat des sols </t>
        </r>
        <r>
          <rPr>
            <b/>
            <sz val="9"/>
            <color indexed="81"/>
            <rFont val="Tahoma"/>
            <family val="2"/>
          </rPr>
          <t>(map)</t>
        </r>
      </text>
    </comment>
    <comment ref="AO33" authorId="2">
      <text>
        <r>
          <rPr>
            <b/>
            <sz val="9"/>
            <color indexed="81"/>
            <rFont val="Tahoma"/>
            <family val="2"/>
          </rPr>
          <t xml:space="preserve">Billy Tsekos:
NR-P.39: </t>
        </r>
        <r>
          <rPr>
            <sz val="9"/>
            <color indexed="81"/>
            <rFont val="Tahoma"/>
            <family val="2"/>
          </rPr>
          <t>Les dynamiques des défrichements culturaux s'évaluent ainsi à 60.000 ha de forêts détruites par an entre 1980 et 1983, 113.000 ha par an entre 1983 et 1992, 360.000 par an entre 1992 et 2000. Ainsi, de 15.420.000 ha en 1980, les superficies occupées par les formations naturelles 40 sont passées respectivement à 15.180.000 ha en 1983, 14.160.000 ha en 1992, et 11.287.000 ha en 2000 (SP/CONEDD, 2010b).</t>
        </r>
        <r>
          <rPr>
            <b/>
            <sz val="9"/>
            <color indexed="81"/>
            <rFont val="Tahoma"/>
            <family val="2"/>
          </rPr>
          <t xml:space="preserve">
</t>
        </r>
        <r>
          <rPr>
            <sz val="9"/>
            <color indexed="81"/>
            <rFont val="Tahoma"/>
            <family val="2"/>
          </rPr>
          <t xml:space="preserve">
</t>
        </r>
        <r>
          <rPr>
            <b/>
            <sz val="9"/>
            <color indexed="81"/>
            <rFont val="Tahoma"/>
            <family val="2"/>
          </rPr>
          <t>NR-P.30:</t>
        </r>
        <r>
          <rPr>
            <sz val="9"/>
            <color indexed="81"/>
            <rFont val="Tahoma"/>
            <family val="2"/>
          </rPr>
          <t xml:space="preserve"> Etat de degradation du couvert vegetal 2007-2013</t>
        </r>
      </text>
    </comment>
    <comment ref="AV33" authorId="2">
      <text>
        <r>
          <rPr>
            <b/>
            <sz val="9"/>
            <color indexed="81"/>
            <rFont val="Tahoma"/>
            <family val="2"/>
          </rPr>
          <t>Billy Tsekos:</t>
        </r>
        <r>
          <rPr>
            <sz val="9"/>
            <color indexed="81"/>
            <rFont val="Tahoma"/>
            <family val="2"/>
          </rPr>
          <t xml:space="preserve">
</t>
        </r>
        <r>
          <rPr>
            <b/>
            <sz val="9"/>
            <color indexed="81"/>
            <rFont val="Tahoma"/>
            <family val="2"/>
          </rPr>
          <t xml:space="preserve">NR- P30-32 -  </t>
        </r>
        <r>
          <rPr>
            <sz val="9"/>
            <color indexed="81"/>
            <rFont val="Tahoma"/>
            <family val="2"/>
          </rPr>
          <t xml:space="preserve">Evolution des superficies (en km2) des classes de couverture végétale .
</t>
        </r>
        <r>
          <rPr>
            <b/>
            <sz val="9"/>
            <color indexed="81"/>
            <rFont val="Tahoma"/>
            <family val="2"/>
          </rPr>
          <t xml:space="preserve">NR- P28: </t>
        </r>
        <r>
          <rPr>
            <sz val="9"/>
            <color indexed="81"/>
            <rFont val="Tahoma"/>
            <family val="2"/>
          </rPr>
          <t>Etat des sols (map)</t>
        </r>
      </text>
    </comment>
    <comment ref="BA33" authorId="0">
      <text>
        <r>
          <rPr>
            <sz val="9"/>
            <color indexed="81"/>
            <rFont val="Tahoma"/>
            <family val="2"/>
          </rPr>
          <t xml:space="preserve">Goals for ABT 5
</t>
        </r>
        <r>
          <rPr>
            <b/>
            <sz val="9"/>
            <color indexed="81"/>
            <rFont val="Tahoma"/>
            <family val="2"/>
          </rPr>
          <t xml:space="preserve"> NR- P.85:</t>
        </r>
        <r>
          <rPr>
            <sz val="9"/>
            <color indexed="81"/>
            <rFont val="Tahoma"/>
            <family val="2"/>
          </rPr>
          <t xml:space="preserve">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r>
      </text>
    </comment>
    <comment ref="BF33" authorId="2">
      <text>
        <r>
          <rPr>
            <b/>
            <sz val="9"/>
            <color indexed="81"/>
            <rFont val="Tahoma"/>
            <family val="2"/>
          </rPr>
          <t>Billy Tsekos:</t>
        </r>
        <r>
          <rPr>
            <sz val="9"/>
            <color indexed="81"/>
            <rFont val="Tahoma"/>
            <family val="2"/>
          </rPr>
          <t xml:space="preserve">
Although they do not have any national targets, they mention forests and soils in when commenting on progress towards ABT5 
</t>
        </r>
      </text>
    </comment>
    <comment ref="BL33" authorId="2">
      <text>
        <r>
          <rPr>
            <b/>
            <sz val="9"/>
            <color indexed="81"/>
            <rFont val="Tahoma"/>
            <family val="2"/>
          </rPr>
          <t>Billy Tsekos:</t>
        </r>
        <r>
          <rPr>
            <sz val="9"/>
            <color indexed="81"/>
            <rFont val="Tahoma"/>
            <family val="2"/>
          </rPr>
          <t xml:space="preserve">
</t>
        </r>
        <r>
          <rPr>
            <b/>
            <sz val="9"/>
            <color indexed="81"/>
            <rFont val="Tahoma"/>
            <family val="2"/>
          </rPr>
          <t>List on NR- P57.</t>
        </r>
      </text>
    </comment>
    <comment ref="BP33" authorId="2">
      <text>
        <r>
          <rPr>
            <b/>
            <sz val="9"/>
            <color indexed="81"/>
            <rFont val="Tahoma"/>
            <family val="2"/>
          </rPr>
          <t xml:space="preserve">Billy Tsekos:
List on NR- P57.
</t>
        </r>
        <r>
          <rPr>
            <sz val="9"/>
            <color indexed="81"/>
            <rFont val="Tahoma"/>
            <family val="2"/>
          </rPr>
          <t xml:space="preserve">
</t>
        </r>
        <r>
          <rPr>
            <b/>
            <sz val="9"/>
            <color indexed="81"/>
            <rFont val="Tahoma"/>
            <family val="2"/>
          </rPr>
          <t>NR-P.60:</t>
        </r>
        <r>
          <rPr>
            <sz val="9"/>
            <color indexed="81"/>
            <rFont val="Tahoma"/>
            <family val="2"/>
          </rPr>
          <t xml:space="preserve">  Réalisation de 8063,55 ha de Régénération Naturelle Assistée (RNA) en 2011, 1918,25 ha en 2012, 4500ha en 2013; Récupération de 4148, 6 ha de terres dégradées en 2011 et 4180 ha en 2012; Réalisation de 8 espaces de conservations en 2013 (p58); Récupération de 2 770 ha de parcours pastoral dégradés.
</t>
        </r>
        <r>
          <rPr>
            <b/>
            <sz val="9"/>
            <color indexed="81"/>
            <rFont val="Tahoma"/>
            <family val="2"/>
          </rPr>
          <t xml:space="preserve">NR-P.65: </t>
        </r>
        <r>
          <rPr>
            <sz val="9"/>
            <color indexed="81"/>
            <rFont val="Tahoma"/>
            <family val="2"/>
          </rPr>
          <t xml:space="preserve"> Prise en compte de la dimension de l’environnement et de la biodiversité dans les projets du secteur de l’énergie (restauration de forêts classées et stabilisation de berges des cours d’eaux)
</t>
        </r>
        <r>
          <rPr>
            <b/>
            <sz val="9"/>
            <color indexed="81"/>
            <rFont val="Tahoma"/>
            <family val="2"/>
          </rPr>
          <t xml:space="preserve">NR-P.69: </t>
        </r>
        <r>
          <rPr>
            <sz val="9"/>
            <color indexed="81"/>
            <rFont val="Tahoma"/>
            <family val="2"/>
          </rPr>
          <t xml:space="preserve">la réalisation de 689,25 ha de mise en défens dans les régions du Sahel, du Nord Centre Nord et du Plateau Central
</t>
        </r>
        <r>
          <rPr>
            <b/>
            <sz val="9"/>
            <color indexed="81"/>
            <rFont val="Tahoma"/>
            <family val="2"/>
          </rPr>
          <t>NR-P.73:</t>
        </r>
        <r>
          <rPr>
            <sz val="9"/>
            <color indexed="81"/>
            <rFont val="Tahoma"/>
            <family val="2"/>
          </rPr>
          <t xml:space="preserve"> Réalisation de 1 220 ha de sous-solage dans le cadre de la récupération des terres dégradées en 2013
</t>
        </r>
        <r>
          <rPr>
            <b/>
            <sz val="9"/>
            <color indexed="81"/>
            <rFont val="Tahoma"/>
            <family val="2"/>
          </rPr>
          <t>NR-P.88:</t>
        </r>
        <r>
          <rPr>
            <sz val="9"/>
            <color indexed="81"/>
            <rFont val="Tahoma"/>
            <family val="2"/>
          </rPr>
          <t xml:space="preserve"> la production et mise en terre environs 35 822 107 plants. </t>
        </r>
      </text>
    </comment>
    <comment ref="BT33" authorId="2">
      <text>
        <r>
          <rPr>
            <b/>
            <sz val="9"/>
            <color indexed="81"/>
            <rFont val="Tahoma"/>
            <family val="2"/>
          </rPr>
          <t>Billy Tsekos:</t>
        </r>
        <r>
          <rPr>
            <sz val="9"/>
            <color indexed="81"/>
            <rFont val="Tahoma"/>
            <family val="2"/>
          </rPr>
          <t xml:space="preserve">
</t>
        </r>
        <r>
          <rPr>
            <b/>
            <sz val="9"/>
            <color indexed="81"/>
            <rFont val="Tahoma"/>
            <family val="2"/>
          </rPr>
          <t xml:space="preserve">NR-P.65: </t>
        </r>
        <r>
          <rPr>
            <sz val="9"/>
            <color indexed="81"/>
            <rFont val="Tahoma"/>
            <family val="2"/>
          </rPr>
          <t xml:space="preserve"> Prise en compte de la dimension de l’environnement et de la biodiversité dans les projets du secteur de l’énergie (restauration de forêts classées et stabilisation de berges des cours d’eaux)
</t>
        </r>
        <r>
          <rPr>
            <b/>
            <sz val="9"/>
            <color indexed="81"/>
            <rFont val="Tahoma"/>
            <family val="2"/>
          </rPr>
          <t>NR-P.69:</t>
        </r>
        <r>
          <rPr>
            <sz val="9"/>
            <color indexed="81"/>
            <rFont val="Tahoma"/>
            <family val="2"/>
          </rPr>
          <t xml:space="preserve"> la réalisation de 689,25 ha de mise en défens dans les régions du Sahel, du Nord Centre Nord et du Plateau Central
</t>
        </r>
        <r>
          <rPr>
            <b/>
            <sz val="9"/>
            <color indexed="81"/>
            <rFont val="Tahoma"/>
            <family val="2"/>
          </rPr>
          <t xml:space="preserve">NR-P.73: </t>
        </r>
        <r>
          <rPr>
            <sz val="9"/>
            <color indexed="81"/>
            <rFont val="Tahoma"/>
            <family val="2"/>
          </rPr>
          <t>Réalisation de 1 220 ha de sous-solage dans le cadre de la récupération des terres dégradées en 2013</t>
        </r>
      </text>
    </comment>
    <comment ref="BX33"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 xml:space="preserve">Les charges en bétail vont croissantes avec le maintien des systèmes extensifs et transhumants qui entrainent un appauvrissement des écosystèmes pastoraux.
</t>
        </r>
        <r>
          <rPr>
            <b/>
            <sz val="9"/>
            <color indexed="81"/>
            <rFont val="Tahoma"/>
            <family val="2"/>
          </rPr>
          <t>NR-P.5:</t>
        </r>
        <r>
          <rPr>
            <sz val="9"/>
            <color indexed="81"/>
            <rFont val="Tahoma"/>
            <family val="2"/>
          </rPr>
          <t xml:space="preserve">  Fragmentation et réduction de leurs habitats par les aménagements routiers, les feux de végétation, l’occupation des berges.
</t>
        </r>
        <r>
          <rPr>
            <b/>
            <sz val="9"/>
            <color indexed="81"/>
            <rFont val="Tahoma"/>
            <family val="2"/>
          </rPr>
          <t>NR-P.39:</t>
        </r>
        <r>
          <rPr>
            <sz val="9"/>
            <color indexed="81"/>
            <rFont val="Tahoma"/>
            <family val="2"/>
          </rPr>
          <t xml:space="preserve"> En ce qui concerne les ressources forestières, les formes de pression les plus importantes sont les défrichements et les techniques d’exploitation et de récolte destructrices des végétaux. Les systèmes d’élevage et d’agriculture pratiqués sont essentiellement extensifs avec des pressions plus accentuées sur les formations naturelles. La situation actuelle du secteur de l’élevage fait apparaître un problème de surcharge de l’espace pastoral. 
</t>
        </r>
        <r>
          <rPr>
            <b/>
            <sz val="9"/>
            <color indexed="81"/>
            <rFont val="Tahoma"/>
            <family val="2"/>
          </rPr>
          <t xml:space="preserve">NR-P.39: </t>
        </r>
        <r>
          <rPr>
            <sz val="9"/>
            <color indexed="81"/>
            <rFont val="Tahoma"/>
            <family val="2"/>
          </rPr>
          <t>Le déséquilibre entre charge animale et capacité de charge des formations végétales, constitue en effet un des principaux facteurs de dégradation de la diversité biologique au Burkina Faso.</t>
        </r>
      </text>
    </comment>
    <comment ref="CH33" authorId="2">
      <text>
        <r>
          <rPr>
            <b/>
            <sz val="9"/>
            <color indexed="81"/>
            <rFont val="Tahoma"/>
            <family val="2"/>
          </rPr>
          <t>Billy Tsekos:</t>
        </r>
        <r>
          <rPr>
            <sz val="9"/>
            <color indexed="81"/>
            <rFont val="Tahoma"/>
            <family val="2"/>
          </rPr>
          <t xml:space="preserve">
 They mention the adoption of a REDD+ strategie across the forest investment program. This is is part of the progress to accomplish ABT15 </t>
        </r>
      </text>
    </comment>
    <comment ref="CP33" authorId="2">
      <text>
        <r>
          <rPr>
            <b/>
            <sz val="9"/>
            <color indexed="81"/>
            <rFont val="Tahoma"/>
            <family val="2"/>
          </rPr>
          <t>Billy Tsekos:</t>
        </r>
        <r>
          <rPr>
            <sz val="9"/>
            <color indexed="81"/>
            <rFont val="Tahoma"/>
            <family val="2"/>
          </rPr>
          <t xml:space="preserve">
</t>
        </r>
        <r>
          <rPr>
            <b/>
            <sz val="9"/>
            <color indexed="81"/>
            <rFont val="Tahoma"/>
            <family val="2"/>
          </rPr>
          <t>NR-P.93:</t>
        </r>
        <r>
          <rPr>
            <sz val="9"/>
            <color indexed="81"/>
            <rFont val="Tahoma"/>
            <family val="2"/>
          </rPr>
          <t xml:space="preserve"> le caractère transversal de la Convention et la nécessité de tenir compte de toutes les sensibilités du pays pour son application. C’est pourquoi, la résilience écosystèmes et des populations face la dégradation continue de la diversité biologique doit être renforcée. Cela passe nécessairement la mise en place d’un cadre global ou d’une
plateforme nationale pour le suivi de la mise en œuvre de la convention sur la diversité biologique ;</t>
        </r>
      </text>
    </comment>
    <comment ref="CQ33" authorId="2">
      <text>
        <r>
          <rPr>
            <b/>
            <sz val="9"/>
            <color indexed="81"/>
            <rFont val="Tahoma"/>
            <family val="2"/>
          </rPr>
          <t>Billy Tsekos:</t>
        </r>
        <r>
          <rPr>
            <sz val="9"/>
            <color indexed="81"/>
            <rFont val="Tahoma"/>
            <family val="2"/>
          </rPr>
          <t xml:space="preserve">
</t>
        </r>
        <r>
          <rPr>
            <b/>
            <sz val="9"/>
            <color indexed="81"/>
            <rFont val="Tahoma"/>
            <family val="2"/>
          </rPr>
          <t>NR-p.89:</t>
        </r>
        <r>
          <rPr>
            <sz val="9"/>
            <color indexed="81"/>
            <rFont val="Tahoma"/>
            <family val="2"/>
          </rPr>
          <t xml:space="preserve"> l’élaboration du Plan National d’Adaptation à la variabilité et aux changements climatiques (en cours de validation).
</t>
        </r>
        <r>
          <rPr>
            <b/>
            <sz val="9"/>
            <color indexed="81"/>
            <rFont val="Tahoma"/>
            <family val="2"/>
          </rPr>
          <t>NR-p.89</t>
        </r>
        <r>
          <rPr>
            <sz val="9"/>
            <color indexed="81"/>
            <rFont val="Tahoma"/>
            <family val="2"/>
          </rPr>
          <t>: le démarrage du processus de mise en place du Fonds d’Intervention en Environnement (FIE) pour la réalisation de projets d’adaptation et de foresterie, de gestion durable de forêts et faune par un pré FIE ;</t>
        </r>
      </text>
    </comment>
    <comment ref="DG33" authorId="3">
      <text>
        <r>
          <rPr>
            <sz val="12"/>
            <color theme="1"/>
            <rFont val="Calibri"/>
            <family val="2"/>
            <scheme val="minor"/>
          </rPr>
          <t xml:space="preserve">2020: 
2025:
2030: </t>
        </r>
      </text>
    </comment>
    <comment ref="DK33" authorId="3">
      <text>
        <r>
          <rPr>
            <sz val="10"/>
            <color indexed="81"/>
            <rFont val="Calibri"/>
          </rPr>
          <t xml:space="preserve">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
</t>
        </r>
        <r>
          <rPr>
            <b/>
            <sz val="10"/>
            <color indexed="81"/>
            <rFont val="Calibri"/>
          </rPr>
          <t>P.5- Table 1.</t>
        </r>
        <r>
          <rPr>
            <sz val="10"/>
            <color indexed="81"/>
            <rFont val="Calibri"/>
          </rPr>
          <t xml:space="preserve"> Reduction of emissions and associated investment costs under the mitigation scenarios</t>
        </r>
      </text>
    </comment>
    <comment ref="DL33" authorId="3">
      <text>
        <r>
          <rPr>
            <sz val="10"/>
            <color indexed="81"/>
            <rFont val="Calibri"/>
          </rPr>
          <t>Implementation of good forestry and agroforestry S practices (selective cutting of firewood, assisted natural regeneration, controlled land clearing, etc.)
Protection of water courses and water sources
Practice of agroforestry for sustained management of natural resources
2000 ha (200 km) of stream banks are rehabilitated and access-protected each year
Establishment and classification of 900,000 ha of regionally focussed biodiversity conservation areas in 12 regions or 180 communes</t>
        </r>
      </text>
    </comment>
    <comment ref="DM33" authorId="3">
      <text>
        <r>
          <rPr>
            <b/>
            <sz val="10"/>
            <color indexed="81"/>
            <rFont val="Calibri"/>
          </rPr>
          <t>21,916 GgCO2 eq.</t>
        </r>
      </text>
    </comment>
    <comment ref="DN33" authorId="3">
      <text>
        <r>
          <rPr>
            <b/>
            <sz val="10"/>
            <color indexed="81"/>
            <rFont val="Calibri"/>
          </rPr>
          <t>1.1%</t>
        </r>
      </text>
    </comment>
    <comment ref="DO33" authorId="3">
      <text>
        <r>
          <rPr>
            <sz val="10"/>
            <color indexed="81"/>
            <rFont val="Calibri"/>
          </rPr>
          <t>37.6%</t>
        </r>
      </text>
    </comment>
    <comment ref="BA34" authorId="0">
      <text>
        <r>
          <rPr>
            <sz val="9"/>
            <color indexed="81"/>
            <rFont val="Tahoma"/>
            <family val="2"/>
          </rPr>
          <t>NI</t>
        </r>
      </text>
    </comment>
    <comment ref="BI34" authorId="0">
      <text>
        <r>
          <rPr>
            <sz val="9"/>
            <color indexed="81"/>
            <rFont val="Tahoma"/>
            <family val="2"/>
          </rPr>
          <t>5NR- p. 45 -  Objectif 16 : D’ici à 2017, la contribution de la biodiversité nationale aux stocks de carbone est évaluée et des mesures pour son amélioration sont prises notamment par le renforcement de la résilience des écosystèmes et la restauration de ceux dégradés</t>
        </r>
      </text>
    </comment>
    <comment ref="ER34" authorId="1">
      <text>
        <r>
          <rPr>
            <b/>
            <sz val="9"/>
            <color indexed="81"/>
            <rFont val="Tahoma"/>
            <family val="2"/>
          </rPr>
          <t xml:space="preserve">billy.tsekos:
</t>
        </r>
        <r>
          <rPr>
            <sz val="9"/>
            <color indexed="81"/>
            <rFont val="Tahoma"/>
            <family val="2"/>
          </rPr>
          <t xml:space="preserve">PHILIPPINE BIODIVERSITY STRATEGY AND ACTION PLAN 2014-2025(Draft as of April 2014)
</t>
        </r>
        <r>
          <rPr>
            <b/>
            <sz val="9"/>
            <color indexed="81"/>
            <rFont val="Tahoma"/>
            <family val="2"/>
          </rPr>
          <t xml:space="preserve">NR-P.92: </t>
        </r>
        <r>
          <rPr>
            <sz val="9"/>
            <color indexed="81"/>
            <rFont val="Tahoma"/>
            <family val="2"/>
          </rPr>
          <t>Protect and conserve existing natural habitats and pursue restoration of the functionality of degraded habitats.</t>
        </r>
      </text>
    </comment>
    <comment ref="ET34" authorId="1">
      <text>
        <r>
          <rPr>
            <b/>
            <sz val="9"/>
            <color indexed="81"/>
            <rFont val="Tahoma"/>
            <family val="2"/>
          </rPr>
          <t xml:space="preserve">billy.tsekos:
</t>
        </r>
        <r>
          <rPr>
            <sz val="9"/>
            <color indexed="81"/>
            <rFont val="Tahoma"/>
            <family val="2"/>
          </rPr>
          <t xml:space="preserve">
</t>
        </r>
        <r>
          <rPr>
            <b/>
            <sz val="9"/>
            <color indexed="81"/>
            <rFont val="Tahoma"/>
            <family val="2"/>
          </rPr>
          <t>NR-P.79:</t>
        </r>
        <r>
          <rPr>
            <sz val="9"/>
            <color indexed="81"/>
            <rFont val="Tahoma"/>
            <family val="2"/>
          </rPr>
          <t xml:space="preserve">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r>
      </text>
    </comment>
    <comment ref="H35" authorId="2">
      <text>
        <r>
          <rPr>
            <b/>
            <sz val="9"/>
            <color indexed="81"/>
            <rFont val="Calibri"/>
            <family val="2"/>
          </rPr>
          <t>Billy Tsekos:</t>
        </r>
        <r>
          <rPr>
            <sz val="9"/>
            <color indexed="81"/>
            <rFont val="Calibri"/>
            <family val="2"/>
          </rPr>
          <t xml:space="preserve">
2009</t>
        </r>
      </text>
    </comment>
    <comment ref="Z35" authorId="2">
      <text>
        <r>
          <rPr>
            <b/>
            <sz val="9"/>
            <color indexed="81"/>
            <rFont val="Tahoma"/>
            <family val="2"/>
          </rPr>
          <t>Billy Tsekos:</t>
        </r>
        <r>
          <rPr>
            <sz val="9"/>
            <color indexed="81"/>
            <rFont val="Tahoma"/>
            <family val="2"/>
          </rPr>
          <t xml:space="preserve">
</t>
        </r>
        <r>
          <rPr>
            <b/>
            <sz val="9"/>
            <color indexed="81"/>
            <rFont val="Tahoma"/>
            <family val="2"/>
          </rPr>
          <t xml:space="preserve">NR-p.35: </t>
        </r>
        <r>
          <rPr>
            <sz val="9"/>
            <color indexed="81"/>
            <rFont val="Tahoma"/>
            <family val="2"/>
          </rPr>
          <t>Forest biodiversity. The National Forestry Inventory, published in 2013, reveals the existence in Cabo Verde of about 51 taxa in forest perimeters, 50 species and subspecies,
 overing an area of 89,552 ha, accounting for 23% of national territory. 
Of the 43 617 ha, 11% correspond to forest areas, 21,522 ha (5%) to shrub areas, 13,462 ha (3.4%) to agroforestry areas and 11,302 ha (2.8%) to open forests (Figure 10). Aboveground biomass (wood and leaves) in forest areas is of 801 000 tons. The carbon sequestered above ground is of 400 600 tons. Introduced species are prevailing in forest composition, and in a restricted area (548.5 ha) contains over five endemic species. Forests in wetlands are dominated by conifers and Pinus pine, while in low-lying areas Prosopis and Acacia prevail.</t>
        </r>
      </text>
    </comment>
    <comment ref="BX35" authorId="2">
      <text>
        <r>
          <rPr>
            <b/>
            <sz val="9"/>
            <color indexed="81"/>
            <rFont val="Tahoma"/>
            <family val="2"/>
          </rPr>
          <t>Billy Tsekos:</t>
        </r>
        <r>
          <rPr>
            <sz val="9"/>
            <color indexed="81"/>
            <rFont val="Tahoma"/>
            <family val="2"/>
          </rPr>
          <t xml:space="preserve">
</t>
        </r>
        <r>
          <rPr>
            <b/>
            <sz val="9"/>
            <color indexed="81"/>
            <rFont val="Tahoma"/>
            <family val="2"/>
          </rPr>
          <t xml:space="preserve">NR-P.48: </t>
        </r>
        <r>
          <rPr>
            <sz val="9"/>
            <color indexed="81"/>
            <rFont val="Tahoma"/>
            <family val="2"/>
          </rPr>
          <t xml:space="preserve">Invasive species are the main cause of degradation and loss of plant biodiversity in Cabo
Verde
</t>
        </r>
        <r>
          <rPr>
            <b/>
            <sz val="9"/>
            <color indexed="81"/>
            <rFont val="Tahoma"/>
            <family val="2"/>
          </rPr>
          <t xml:space="preserve">NR-P.47: </t>
        </r>
        <r>
          <rPr>
            <sz val="9"/>
            <color indexed="81"/>
            <rFont val="Tahoma"/>
            <family val="2"/>
          </rPr>
          <t xml:space="preserve">Pressures and threats on terrestrial biodiversity
</t>
        </r>
      </text>
    </comment>
    <comment ref="CK35" authorId="2">
      <text>
        <r>
          <rPr>
            <b/>
            <sz val="9"/>
            <color indexed="81"/>
            <rFont val="Tahoma"/>
            <family val="2"/>
          </rPr>
          <t xml:space="preserve">Billy Tsekos:
</t>
        </r>
        <r>
          <rPr>
            <sz val="9"/>
            <color indexed="81"/>
            <rFont val="Tahoma"/>
            <family val="2"/>
          </rPr>
          <t xml:space="preserve">
</t>
        </r>
        <r>
          <rPr>
            <b/>
            <sz val="9"/>
            <color indexed="81"/>
            <rFont val="Tahoma"/>
            <family val="2"/>
          </rPr>
          <t>NR-P.35:</t>
        </r>
        <r>
          <rPr>
            <sz val="9"/>
            <color indexed="81"/>
            <rFont val="Tahoma"/>
            <family val="2"/>
          </rPr>
          <t xml:space="preserve"> Of the 43 617 ha, 11% correspond to forest areas, 21,522 ha (5%) to shrub areas, 13,462 ha (3.4%) to agroforestry areas and 11,302 ha (2.8%) to open forests (Figure 10). Aboveground biomass (wood and leaves) in forest areas is of 801 000 tons. The carbon sequestered above ground is of 400 600 tons. Introduced species are prevailing in forest composition, and in a restricted area (548.5 ha) contains over five endemic species. Forests in wetlands are dominated by conifers and Pinus pine, while in low-lying areas Prosopis and Acacia prevail.</t>
        </r>
      </text>
    </comment>
    <comment ref="CP35" authorId="2">
      <text>
        <r>
          <rPr>
            <b/>
            <sz val="9"/>
            <color indexed="81"/>
            <rFont val="Tahoma"/>
            <family val="2"/>
          </rPr>
          <t>Billy Tsekos:</t>
        </r>
        <r>
          <rPr>
            <sz val="9"/>
            <color indexed="81"/>
            <rFont val="Tahoma"/>
            <family val="2"/>
          </rPr>
          <t xml:space="preserve">
</t>
        </r>
        <r>
          <rPr>
            <b/>
            <sz val="9"/>
            <color indexed="81"/>
            <rFont val="Tahoma"/>
            <family val="2"/>
          </rPr>
          <t>NR-P.12:</t>
        </r>
        <r>
          <rPr>
            <sz val="9"/>
            <color indexed="81"/>
            <rFont val="Tahoma"/>
            <family val="2"/>
          </rPr>
          <t xml:space="preserve"> Main targets set in the Second NBSAP to achieve by 2030:
2018-All approved strategies and conservation plans will integrate elements of climate change resilience and adaptation;
</t>
        </r>
        <r>
          <rPr>
            <b/>
            <sz val="9"/>
            <color indexed="81"/>
            <rFont val="Tahoma"/>
            <family val="2"/>
          </rPr>
          <t xml:space="preserve">NR-P.65: </t>
        </r>
        <r>
          <rPr>
            <sz val="9"/>
            <color indexed="81"/>
            <rFont val="Tahoma"/>
            <family val="2"/>
          </rPr>
          <t xml:space="preserve"> Preliminary studies, location, geo-fencing, definition and nature, ecological, economic, social and cultural characterization as well as PAs management are measures aimed to conserve marine and coastal biodiversity in a given space, allowing their regeneration in controlled use conditions. There are 46 units of Protected Areas established in Cabo Verde. Embarking on such a path is commendable and will help to promote not only
increased environmental response capacity as well as increased resilience to pressures that potentially disrupt ecosystems.
</t>
        </r>
      </text>
    </comment>
    <comment ref="CQ35" authorId="2">
      <text>
        <r>
          <rPr>
            <b/>
            <sz val="9"/>
            <color indexed="81"/>
            <rFont val="Tahoma"/>
            <family val="2"/>
          </rPr>
          <t>Billy Tsekos:</t>
        </r>
        <r>
          <rPr>
            <sz val="9"/>
            <color indexed="81"/>
            <rFont val="Tahoma"/>
            <family val="2"/>
          </rPr>
          <t xml:space="preserve">
</t>
        </r>
        <r>
          <rPr>
            <b/>
            <sz val="9"/>
            <color indexed="81"/>
            <rFont val="Tahoma"/>
            <family val="2"/>
          </rPr>
          <t xml:space="preserve">NR-P.12: </t>
        </r>
        <r>
          <rPr>
            <sz val="9"/>
            <color indexed="81"/>
            <rFont val="Tahoma"/>
            <family val="2"/>
          </rPr>
          <t>Main targets set in the Second NBSAP to achieve by 2030:
2018-All approved strategies and conservation plans will integrate elements of climate change resilience and adaptation;</t>
        </r>
      </text>
    </comment>
    <comment ref="CV35" authorId="2">
      <text>
        <r>
          <rPr>
            <b/>
            <sz val="9"/>
            <color indexed="81"/>
            <rFont val="Tahoma"/>
            <family val="2"/>
          </rPr>
          <t>Billy Tsekos:</t>
        </r>
        <r>
          <rPr>
            <sz val="9"/>
            <color indexed="81"/>
            <rFont val="Tahoma"/>
            <family val="2"/>
          </rPr>
          <t xml:space="preserve">
</t>
        </r>
        <r>
          <rPr>
            <b/>
            <sz val="9"/>
            <color indexed="81"/>
            <rFont val="Tahoma"/>
            <family val="2"/>
          </rPr>
          <t xml:space="preserve">NR-P.13: </t>
        </r>
        <r>
          <rPr>
            <sz val="9"/>
            <color indexed="81"/>
            <rFont val="Tahoma"/>
            <family val="2"/>
          </rPr>
          <t xml:space="preserve">Integration of biodiversity has therefore represented a political and strategic development framework based on government programs and the MDGs by integrating various planning instruments, notably:
 (i) Main Options of the Plan,
(ii) Government Program, 
(iii) the GPRSP, 
(iv) Poverty Reduction Strategy,
 (v) NationalAction Program against Desertification, </t>
        </r>
      </text>
    </comment>
    <comment ref="CW35" authorId="2">
      <text>
        <r>
          <rPr>
            <b/>
            <sz val="9"/>
            <color indexed="81"/>
            <rFont val="Tahoma"/>
            <family val="2"/>
          </rPr>
          <t>Billy Tsekos:</t>
        </r>
        <r>
          <rPr>
            <sz val="9"/>
            <color indexed="81"/>
            <rFont val="Tahoma"/>
            <family val="2"/>
          </rPr>
          <t xml:space="preserve">
</t>
        </r>
        <r>
          <rPr>
            <b/>
            <sz val="9"/>
            <color indexed="81"/>
            <rFont val="Tahoma"/>
            <family val="2"/>
          </rPr>
          <t>NR-P.76:</t>
        </r>
        <r>
          <rPr>
            <sz val="9"/>
            <color indexed="81"/>
            <rFont val="Tahoma"/>
            <family val="2"/>
          </rPr>
          <t xml:space="preserve"> In terms of in-situ conservation, between 1990 and 2012, there was a 18.65% increase in the proportion of terrestrial and marine protected areas, which allowed to exceed the Millennium Goals target. </t>
        </r>
      </text>
    </comment>
    <comment ref="DK35" authorId="3">
      <text>
        <r>
          <rPr>
            <sz val="10"/>
            <color indexed="81"/>
            <rFont val="Calibri"/>
          </rPr>
          <t>Cabo Verde makes an unconditional long-term commitment to engage in reforestation
new afforestation/reforestation (“A/R”) campaigns in the order of 10,000 hectares until 2030 by 2030;
With international support, Cabo Verde seeks an A/R campaign area of around 20,000 hectares until 2030;
Cabo Verde estimates a planting effort of 400 trees per hectare. If 20,000 hectares are successfully planted, this will generate a long-term sequestration gain of 360 tCO2eq per hectare sequestered after 30 years, corresponding to 7.2 mtCO2eq for 20,000 hectares after 30 years.
Cabo Verde also aims at eliminating three stone cooking stove (35% of households still use three-stone stove) through improved low-emissions cookstoves by 2025 at the latest, and thereby substantially removing demand for firewood.</t>
        </r>
      </text>
    </comment>
    <comment ref="ER35" authorId="0">
      <text>
        <r>
          <rPr>
            <b/>
            <sz val="9"/>
            <color indexed="81"/>
            <rFont val="Tahoma"/>
            <family val="2"/>
          </rPr>
          <t xml:space="preserve">NBSAP-P.89: </t>
        </r>
        <r>
          <rPr>
            <sz val="9"/>
            <color indexed="81"/>
            <rFont val="Tahoma"/>
            <family val="2"/>
          </rPr>
          <t xml:space="preserve">National Target 5: By 2018, high-biodiversity value habitats are mapped, the rate of losses is accounted, trends monitored and overall loss and fragmentation reduced; </t>
        </r>
      </text>
    </comment>
    <comment ref="ET35" authorId="1">
      <text>
        <r>
          <rPr>
            <b/>
            <sz val="9"/>
            <color indexed="81"/>
            <rFont val="Tahoma"/>
            <family val="2"/>
          </rPr>
          <t>Billy.Tsekos:</t>
        </r>
        <r>
          <rPr>
            <sz val="9"/>
            <color indexed="81"/>
            <rFont val="Tahoma"/>
            <family val="2"/>
          </rPr>
          <t xml:space="preserve">
</t>
        </r>
        <r>
          <rPr>
            <b/>
            <sz val="9"/>
            <color indexed="81"/>
            <rFont val="Tahoma"/>
            <family val="2"/>
          </rPr>
          <t xml:space="preserve">NBSAP-P.104: </t>
        </r>
        <r>
          <rPr>
            <sz val="9"/>
            <color indexed="81"/>
            <rFont val="Tahoma"/>
            <family val="2"/>
          </rPr>
          <t xml:space="preserve">National Target 15: By 2020, priority degraded ecosystems and habitats are identified and rehabilitated
</t>
        </r>
        <r>
          <rPr>
            <b/>
            <sz val="9"/>
            <color indexed="81"/>
            <rFont val="Tahoma"/>
            <family val="2"/>
          </rPr>
          <t>NBSAP-P.103):</t>
        </r>
        <r>
          <rPr>
            <sz val="9"/>
            <color indexed="81"/>
            <rFont val="Tahoma"/>
            <family val="2"/>
          </rPr>
          <t>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r>
      </text>
    </comment>
    <comment ref="Z36" authorId="1">
      <text>
        <r>
          <rPr>
            <b/>
            <sz val="9"/>
            <color indexed="81"/>
            <rFont val="Tahoma"/>
            <family val="2"/>
          </rPr>
          <t>billy.tsekos:</t>
        </r>
        <r>
          <rPr>
            <sz val="9"/>
            <color indexed="81"/>
            <rFont val="Tahoma"/>
            <family val="2"/>
          </rPr>
          <t xml:space="preserve">
</t>
        </r>
        <r>
          <rPr>
            <b/>
            <sz val="9"/>
            <color indexed="81"/>
            <rFont val="Tahoma"/>
            <family val="2"/>
          </rPr>
          <t>NR-P.6:</t>
        </r>
        <r>
          <rPr>
            <sz val="9"/>
            <color indexed="81"/>
            <rFont val="Tahoma"/>
            <family val="2"/>
          </rPr>
          <t xml:space="preserve"> Table 6: Forest Cover (2002-2010)
</t>
        </r>
        <r>
          <rPr>
            <b/>
            <sz val="9"/>
            <color indexed="81"/>
            <rFont val="Tahoma"/>
            <family val="2"/>
          </rPr>
          <t xml:space="preserve">
NR-P.17: </t>
        </r>
        <r>
          <rPr>
            <sz val="9"/>
            <color indexed="81"/>
            <rFont val="Tahoma"/>
            <family val="2"/>
          </rPr>
          <t>The Cambodian coastline is approximately 440 km and comprise of beaches, mangroves corals and sea grasses</t>
        </r>
      </text>
    </comment>
    <comment ref="AH36" authorId="1">
      <text>
        <r>
          <rPr>
            <b/>
            <sz val="9"/>
            <color indexed="81"/>
            <rFont val="Tahoma"/>
            <family val="2"/>
          </rPr>
          <t>billy.tsekos:</t>
        </r>
        <r>
          <rPr>
            <sz val="9"/>
            <color indexed="81"/>
            <rFont val="Tahoma"/>
            <family val="2"/>
          </rPr>
          <t xml:space="preserve">
The consolidation of the results of forest assessments since 2002, when revisions of land-use classification were introduced, reveal that the country‘s forest cover declined from 61.15% in 2002 to 57.07% in 2010. That represents a decline of 4.08%, equivalent to a loss of 740,502 hectares of forestland during that eight-year period, or an average annual rate of loss of forestland of 0.5%. 
</t>
        </r>
        <r>
          <rPr>
            <b/>
            <sz val="9"/>
            <color indexed="81"/>
            <rFont val="Tahoma"/>
            <family val="2"/>
          </rPr>
          <t xml:space="preserve">NR-P.7: </t>
        </r>
        <r>
          <rPr>
            <sz val="9"/>
            <color indexed="81"/>
            <rFont val="Tahoma"/>
            <family val="2"/>
          </rPr>
          <t xml:space="preserve">Table 7: Changes in Forest Cover in Cambodia from 1965-2010
</t>
        </r>
      </text>
    </comment>
    <comment ref="AO36" authorId="1">
      <text>
        <r>
          <rPr>
            <b/>
            <sz val="9"/>
            <color indexed="81"/>
            <rFont val="Tahoma"/>
            <family val="2"/>
          </rPr>
          <t>billy.tsekos:</t>
        </r>
        <r>
          <rPr>
            <sz val="9"/>
            <color indexed="81"/>
            <rFont val="Tahoma"/>
            <family val="2"/>
          </rPr>
          <t xml:space="preserve">
</t>
        </r>
        <r>
          <rPr>
            <b/>
            <sz val="9"/>
            <color indexed="81"/>
            <rFont val="Tahoma"/>
            <family val="2"/>
          </rPr>
          <t>NR- P.40:</t>
        </r>
        <r>
          <rPr>
            <sz val="9"/>
            <color indexed="81"/>
            <rFont val="Tahoma"/>
            <family val="2"/>
          </rPr>
          <t xml:space="preserve">There has been significant institutional capacity building on land use planning including participatory land use planning. MLMUPC has invited the provincial land use plan departments and other participants from line government institutions to join the workshop, aims to improve a draft of document relating to establishing the National Base Map, Map Symbol Standards, and Master Plan for the National Spatial Data Infrastructure (NSDI) in Cambodia. The government of the Republic of Korea provided grant aid of US$2.5 million to the MLMUPC to implement the project of Production of the National Base Map. </t>
        </r>
      </text>
    </comment>
    <comment ref="AV36" authorId="1">
      <text>
        <r>
          <rPr>
            <b/>
            <sz val="9"/>
            <color indexed="81"/>
            <rFont val="Tahoma"/>
            <family val="2"/>
          </rPr>
          <t>Billy.Tsekos:</t>
        </r>
        <r>
          <rPr>
            <sz val="9"/>
            <color indexed="81"/>
            <rFont val="Tahoma"/>
            <family val="2"/>
          </rPr>
          <t xml:space="preserve">
</t>
        </r>
        <r>
          <rPr>
            <b/>
            <sz val="9"/>
            <color indexed="81"/>
            <rFont val="Tahoma"/>
            <family val="2"/>
          </rPr>
          <t>NR-P.53: Indicators for Measuring Progress for National target 12:</t>
        </r>
        <r>
          <rPr>
            <sz val="9"/>
            <color indexed="81"/>
            <rFont val="Tahoma"/>
            <family val="2"/>
          </rPr>
          <t>Potential activity assessment report on current rate of habitat loss and important ecosystem degradation.</t>
        </r>
      </text>
    </comment>
    <comment ref="BA36" authorId="1">
      <text>
        <r>
          <rPr>
            <b/>
            <sz val="9"/>
            <color indexed="81"/>
            <rFont val="Tahoma"/>
            <family val="2"/>
          </rPr>
          <t>billy.tsekos:</t>
        </r>
        <r>
          <rPr>
            <sz val="9"/>
            <color indexed="81"/>
            <rFont val="Tahoma"/>
            <family val="2"/>
          </rPr>
          <t xml:space="preserve">
</t>
        </r>
        <r>
          <rPr>
            <b/>
            <sz val="9"/>
            <color indexed="81"/>
            <rFont val="Tahoma"/>
            <family val="2"/>
          </rPr>
          <t xml:space="preserve">NR- P.53:National target 12: </t>
        </r>
        <r>
          <rPr>
            <sz val="9"/>
            <color indexed="81"/>
            <rFont val="Tahoma"/>
            <family val="2"/>
          </rPr>
          <t xml:space="preserve">By 2020, the rate of natural habitat  loss will have reduced, and restoration of natural habitat and wildlife corridors will have improved. </t>
        </r>
      </text>
    </comment>
    <comment ref="BD36" authorId="1">
      <text>
        <r>
          <rPr>
            <b/>
            <sz val="9"/>
            <color indexed="81"/>
            <rFont val="Tahoma"/>
            <family val="2"/>
          </rPr>
          <t>billy.tsekos:</t>
        </r>
        <r>
          <rPr>
            <sz val="9"/>
            <color indexed="81"/>
            <rFont val="Tahoma"/>
            <family val="2"/>
          </rPr>
          <t xml:space="preserve">
2020</t>
        </r>
      </text>
    </comment>
    <comment ref="BI36" authorId="1">
      <text>
        <r>
          <rPr>
            <b/>
            <sz val="9"/>
            <color indexed="81"/>
            <rFont val="Tahoma"/>
            <family val="2"/>
          </rPr>
          <t>billy.tsekos:</t>
        </r>
        <r>
          <rPr>
            <sz val="9"/>
            <color indexed="81"/>
            <rFont val="Tahoma"/>
            <family val="2"/>
          </rPr>
          <t xml:space="preserve">
</t>
        </r>
        <r>
          <rPr>
            <b/>
            <sz val="9"/>
            <color indexed="81"/>
            <rFont val="Tahoma"/>
            <family val="2"/>
          </rPr>
          <t>NR- P.52:</t>
        </r>
        <r>
          <rPr>
            <sz val="9"/>
            <color indexed="81"/>
            <rFont val="Tahoma"/>
            <family val="2"/>
          </rPr>
          <t xml:space="preserve"> </t>
        </r>
        <r>
          <rPr>
            <b/>
            <sz val="9"/>
            <color indexed="81"/>
            <rFont val="Tahoma"/>
            <family val="2"/>
          </rPr>
          <t>National target 6</t>
        </r>
        <r>
          <rPr>
            <sz val="9"/>
            <color indexed="81"/>
            <rFont val="Tahoma"/>
            <family val="2"/>
          </rPr>
          <t xml:space="preserve">: By 2020, ecosystems and their functioning have been restored  and preserved  benefiting local communities particularly women, old person, children and  indigenous people. </t>
        </r>
      </text>
    </comment>
    <comment ref="BL36" authorId="1">
      <text>
        <r>
          <rPr>
            <b/>
            <sz val="9"/>
            <color indexed="81"/>
            <rFont val="Tahoma"/>
            <family val="2"/>
          </rPr>
          <t>billy.tsekos:</t>
        </r>
        <r>
          <rPr>
            <sz val="9"/>
            <color indexed="81"/>
            <rFont val="Tahoma"/>
            <family val="2"/>
          </rPr>
          <t xml:space="preserve">
</t>
        </r>
        <r>
          <rPr>
            <b/>
            <sz val="9"/>
            <color indexed="81"/>
            <rFont val="Tahoma"/>
            <family val="2"/>
          </rPr>
          <t xml:space="preserve">NR- P.26: </t>
        </r>
        <r>
          <rPr>
            <sz val="9"/>
            <color indexed="81"/>
            <rFont val="Tahoma"/>
            <family val="2"/>
          </rPr>
          <t xml:space="preserve">There has been a wide range of efforts by the government to implement  conservation and community development projects with support from the NGOs and donor communities to reduce poverty in and around protected areas through community projects. Biodiversity is also promoted through development of eco-tourism and incorporation of tourism infrastructure for protected areas in the  national tourism development plan. Some relevant initiatives include guidelines for engagement of private sector in implementation of Clean Development Mechanism, particularly in energy efficiency, and reforestation and afforestation is being promoted. 
</t>
        </r>
        <r>
          <rPr>
            <b/>
            <sz val="9"/>
            <color indexed="81"/>
            <rFont val="Tahoma"/>
            <family val="2"/>
          </rPr>
          <t xml:space="preserve">NR- P.34: </t>
        </r>
        <r>
          <rPr>
            <sz val="9"/>
            <color indexed="81"/>
            <rFont val="Tahoma"/>
            <family val="2"/>
          </rPr>
          <t xml:space="preserve">The purpose of the Community Forestry program is to strengthen sustainable forest management by improving the livelihoods of local communities. Community Forestry has been established in the country since 1991 and as of 2012 there were 453 community forests with a collective area of </t>
        </r>
        <r>
          <rPr>
            <b/>
            <sz val="9"/>
            <color indexed="81"/>
            <rFont val="Tahoma"/>
            <family val="2"/>
          </rPr>
          <t>399,880 ha</t>
        </r>
        <r>
          <rPr>
            <sz val="9"/>
            <color indexed="81"/>
            <rFont val="Tahoma"/>
            <family val="2"/>
          </rPr>
          <t xml:space="preserve">. Community Forestry has become a national strategy for poverty alleviation and sustained livelihoods. There are eleven steps required to complete this process, including the development of a management committee and by laws, the demarcation of community forest boundaries, and the establishment of a management plan approved by the Forestry Administration. </t>
        </r>
      </text>
    </comment>
    <comment ref="BX36" authorId="1">
      <text>
        <r>
          <rPr>
            <b/>
            <sz val="9"/>
            <color indexed="81"/>
            <rFont val="Tahoma"/>
            <family val="2"/>
          </rPr>
          <t>billy.tsekos:</t>
        </r>
        <r>
          <rPr>
            <sz val="9"/>
            <color indexed="81"/>
            <rFont val="Tahoma"/>
            <family val="2"/>
          </rPr>
          <t xml:space="preserve">
</t>
        </r>
        <r>
          <rPr>
            <b/>
            <sz val="9"/>
            <color indexed="81"/>
            <rFont val="Tahoma"/>
            <family val="2"/>
          </rPr>
          <t xml:space="preserve">NR-P.13: </t>
        </r>
        <r>
          <rPr>
            <sz val="9"/>
            <color indexed="81"/>
            <rFont val="Tahoma"/>
            <family val="2"/>
          </rPr>
          <t xml:space="preserve">As previously identified there is a significant trend in declining forest cover in Cambodia since 1965. The causes of forest decline and degradation include commercial logging, slash and burn cultivation, land encroachment for human settlements, farming and infrastructure development and cutting wood for fuel. The loss in forest quality is significantly higher than the loss in forest cover area, as logging has concentrated on commercially valuable species and larger-size trees. Habitat is further impacted by other drivers of changes in land use such as the conversions of state land to agriculture by large corporations through economic land concessions and the actions of landless people. The former conversions affect very large areas, the latter much smaller areas.
</t>
        </r>
        <r>
          <rPr>
            <b/>
            <sz val="9"/>
            <color indexed="81"/>
            <rFont val="Tahoma"/>
            <family val="2"/>
          </rPr>
          <t xml:space="preserve">
NR-P.12:</t>
        </r>
        <r>
          <rPr>
            <sz val="9"/>
            <color indexed="81"/>
            <rFont val="Tahoma"/>
            <family val="2"/>
          </rPr>
          <t xml:space="preserve"> The causes of forest decline and degradation include commercial logging, slash and burn cultivation, land encroachment for human settlements, farming and infrastructure development and cutting wood for fuel. The loss in forest quality is significantly higher than the loss in forest cover area, as logging has concentrated on commercially valuable species and larger-size trees. Habitat is further impacted by other drivers of changes in land use such as the conversions of state land to agriculture by large corporations through economic land concessions and the actions of landless people. The former conversions affect very large areas, the latter much smaller areas. Economic Land Concessions, in essence, transfer the authority for the economic development of land from the Government to local and foreign investors. The RGC, as of April 2013, had approved almost 2,000,000 ha of Economic Land Concessions that had been granted to more than 200 concessionaires. Rubber, palm oil, cashew nuts, cassava, and livestock are the primary areas of investment.
</t>
        </r>
        <r>
          <rPr>
            <b/>
            <sz val="9"/>
            <color indexed="81"/>
            <rFont val="Tahoma"/>
            <family val="2"/>
          </rPr>
          <t>NR-P.17:</t>
        </r>
        <r>
          <rPr>
            <sz val="9"/>
            <color indexed="81"/>
            <rFont val="Tahoma"/>
            <family val="2"/>
          </rPr>
          <t xml:space="preserve"> The mangrove forests have experienced threats from charcoal production the expansion of salt farms and widespread shrimp aquaculture. The Provincial Environment Department has been destroying kilns and some mangrove re-growth and planting have been noted through collaborative efforts by government, NGOs and local communities. The rapid decline and loss of these marine ecosystems has significant social, economic and environmental consequences and will ultimately lead to increased poverty and a reduction in quality of life for people of Cambodia
</t>
        </r>
      </text>
    </comment>
    <comment ref="CH36"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One of the potential sources of the funding is through payments for Reduced Emissions in Deforestation and Degradation (REDD+). Cambodia‘s forests have the potential to absorb substantial amounts of CO2 and in May 2008, the Council of Ministers of the Royal Government of Cambodia declared Oddar Meanchey province with its highly degraded forests to be the first REDD+ implementation site in the country</t>
        </r>
      </text>
    </comment>
    <comment ref="CI36"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The Forestry Administration has since collaborated with several development partners and NGOs to introduce REDD+ approaches in other areas, as well, including the Southwestern Cardamom Mountains and the Seima Protected Forest in the eastern part of the country. The Project Document in Oddar Meanchey has received validation through the Verified Carbon Standard (VCR) certification process and plans to receive payments for validated reductions in CO2 emissions through the voluntary market continue as efforts involving the RGC, project partners, and  potential purchasers of carbon credits are extended to resolve remaining legal requirements. In the Seima Protection Forest, meanwhile, the development of responses to the comments of an independent auditor with regard to the Project Document remains ongoing.</t>
        </r>
      </text>
    </comment>
    <comment ref="CP36" authorId="1">
      <text>
        <r>
          <rPr>
            <b/>
            <sz val="9"/>
            <color indexed="81"/>
            <rFont val="Tahoma"/>
            <family val="2"/>
          </rPr>
          <t>billy.tsekos:</t>
        </r>
        <r>
          <rPr>
            <sz val="9"/>
            <color indexed="81"/>
            <rFont val="Tahoma"/>
            <family val="2"/>
          </rPr>
          <t xml:space="preserve">
</t>
        </r>
        <r>
          <rPr>
            <b/>
            <sz val="9"/>
            <color indexed="81"/>
            <rFont val="Tahoma"/>
            <family val="2"/>
          </rPr>
          <t xml:space="preserve"> NR-P.29) </t>
        </r>
        <r>
          <rPr>
            <sz val="9"/>
            <color indexed="81"/>
            <rFont val="Tahoma"/>
            <family val="2"/>
          </rPr>
          <t>Many projects with grants and loans have been implementing in different protected areas‘ sites to contribute to the protection of natural resources namely ―Enhancing Climate Change Resilience of Rural Communities Living in Protected areas of Cambodia‖ project</t>
        </r>
      </text>
    </comment>
    <comment ref="CQ36" authorId="1">
      <text>
        <r>
          <rPr>
            <b/>
            <sz val="9"/>
            <color indexed="81"/>
            <rFont val="Tahoma"/>
            <family val="2"/>
          </rPr>
          <t>billy.tsekos:
NR- P.15:</t>
        </r>
        <r>
          <rPr>
            <sz val="9"/>
            <color indexed="81"/>
            <rFont val="Tahoma"/>
            <family val="2"/>
          </rPr>
          <t xml:space="preserve">Cambodia has been identified as being highly vulnerable to the impacts of climate change and is
regularly ranked in the top 10 most vulnerable countries. The reliance on agriculture and especially rain-fed rice makes the potential impacts of drought and flood major issues. The Royal Government of Cambodia officially launched the first-ever, Cambodia Climate Change Strategic Plan (CCCSP) 2014-2023 in November 2013. </t>
        </r>
        <r>
          <rPr>
            <b/>
            <sz val="9"/>
            <color indexed="81"/>
            <rFont val="Tahoma"/>
            <family val="2"/>
          </rPr>
          <t xml:space="preserve">
</t>
        </r>
        <r>
          <rPr>
            <sz val="9"/>
            <color indexed="81"/>
            <rFont val="Tahoma"/>
            <family val="2"/>
          </rPr>
          <t xml:space="preserve">
</t>
        </r>
        <r>
          <rPr>
            <b/>
            <sz val="9"/>
            <color indexed="81"/>
            <rFont val="Tahoma"/>
            <family val="2"/>
          </rPr>
          <t xml:space="preserve">NR- P.24: </t>
        </r>
        <r>
          <rPr>
            <sz val="9"/>
            <color indexed="81"/>
            <rFont val="Tahoma"/>
            <family val="2"/>
          </rPr>
          <t xml:space="preserve">National Strategic Development Plan (NSDP) (2006-2010) reaffirms   the government‘s Rectangular Strategy and MDGs particularly the forestry reform and environmental conservation focusing on the implementation of environmental impact assessment, climate change mitigation and adaptation, biodiversity conservation  and land degradation and defines key strategy and actions for agriculture and environmental conservation.
</t>
        </r>
        <r>
          <rPr>
            <b/>
            <sz val="9"/>
            <color indexed="81"/>
            <rFont val="Tahoma"/>
            <family val="2"/>
          </rPr>
          <t xml:space="preserve">NR- P.42: </t>
        </r>
        <r>
          <rPr>
            <sz val="9"/>
            <color indexed="81"/>
            <rFont val="Tahoma"/>
            <family val="2"/>
          </rPr>
          <t xml:space="preserve">The Asian Development Bank (ADB) recently reported that it was providing US$3.0 million to the Cambodian government to assist with its ongoing disaster response efforts, to provide needed rice seed for re-planting and repair irrigation infrastructure and rural roads. The ADB estimated that the floods caused US$1.0 billion in total damage and affected roughly 1.7 million people.
</t>
        </r>
      </text>
    </comment>
    <comment ref="CW36" authorId="1">
      <text>
        <r>
          <rPr>
            <b/>
            <sz val="9"/>
            <color indexed="81"/>
            <rFont val="Tahoma"/>
            <family val="2"/>
          </rPr>
          <t>billy.tsekos:</t>
        </r>
        <r>
          <rPr>
            <sz val="9"/>
            <color indexed="81"/>
            <rFont val="Tahoma"/>
            <family val="2"/>
          </rPr>
          <t xml:space="preserve">
</t>
        </r>
        <r>
          <rPr>
            <b/>
            <sz val="9"/>
            <color indexed="81"/>
            <rFont val="Tahoma"/>
            <family val="2"/>
          </rPr>
          <t>NR-P.4:</t>
        </r>
        <r>
          <rPr>
            <sz val="9"/>
            <color indexed="81"/>
            <rFont val="Tahoma"/>
            <family val="2"/>
          </rPr>
          <t xml:space="preserve"> Protected Areas Status
</t>
        </r>
      </text>
    </comment>
    <comment ref="EH36" authorId="0">
      <text>
        <r>
          <rPr>
            <b/>
            <sz val="9"/>
            <color indexed="81"/>
            <rFont val="Tahoma"/>
            <family val="2"/>
          </rPr>
          <t>13 million hectares</t>
        </r>
      </text>
    </comment>
    <comment ref="ER36" authorId="0">
      <text>
        <r>
          <rPr>
            <b/>
            <sz val="9"/>
            <color indexed="81"/>
            <rFont val="Tahoma"/>
            <family val="2"/>
          </rPr>
          <t>NBSAP-ADD1-P.23:</t>
        </r>
        <r>
          <rPr>
            <sz val="9"/>
            <color indexed="81"/>
            <rFont val="Tahoma"/>
            <family val="2"/>
          </rPr>
          <t xml:space="preserve">
</t>
        </r>
        <r>
          <rPr>
            <b/>
            <sz val="9"/>
            <color indexed="81"/>
            <rFont val="Tahoma"/>
            <family val="2"/>
          </rPr>
          <t>National Target3:</t>
        </r>
        <r>
          <rPr>
            <sz val="9"/>
            <color indexed="81"/>
            <rFont val="Tahoma"/>
            <family val="2"/>
          </rPr>
          <t xml:space="preserve"> Strategies for reducing rate of degradation, fragmentation and loss of all natural habitats are finalized and actions put in place by 2020 for environmental amelioration and human well-being.
</t>
        </r>
      </text>
    </comment>
    <comment ref="ET36" authorId="1">
      <text>
        <r>
          <rPr>
            <b/>
            <sz val="9"/>
            <color indexed="81"/>
            <rFont val="Tahoma"/>
            <family val="2"/>
          </rPr>
          <t>billy.tsekos:</t>
        </r>
        <r>
          <rPr>
            <sz val="9"/>
            <color indexed="81"/>
            <rFont val="Tahoma"/>
            <family val="2"/>
          </rPr>
          <t xml:space="preserve">
NBSAP-ADD1-P.23:
National Target3: Strategies for reducing rate of degradation, fragmentation and loss of all natural habitats are finalized and actions put in place by 2020 for environmental amelioration and human well-being.
</t>
        </r>
      </text>
    </comment>
    <comment ref="BA37" authorId="0">
      <text>
        <r>
          <rPr>
            <sz val="9"/>
            <color indexed="81"/>
            <rFont val="Tahoma"/>
            <family val="2"/>
          </rPr>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r>
      </text>
    </comment>
    <comment ref="BI37" authorId="0">
      <text>
        <r>
          <rPr>
            <sz val="9"/>
            <color indexed="81"/>
            <rFont val="Tahoma"/>
            <family val="2"/>
          </rPr>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r>
      </text>
    </comment>
    <comment ref="ER37" authorId="0">
      <text>
        <r>
          <rPr>
            <b/>
            <sz val="9"/>
            <color indexed="81"/>
            <rFont val="Tahoma"/>
            <family val="2"/>
          </rPr>
          <t xml:space="preserve">(NBSAP- P.30) </t>
        </r>
        <r>
          <rPr>
            <sz val="9"/>
            <color indexed="81"/>
            <rFont val="Tahoma"/>
            <family val="2"/>
          </rPr>
          <t>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r>
      </text>
    </comment>
    <comment ref="ET37" authorId="1">
      <text>
        <r>
          <rPr>
            <b/>
            <sz val="9"/>
            <color indexed="81"/>
            <rFont val="Tahoma"/>
            <family val="2"/>
          </rPr>
          <t>billy.tsekos:</t>
        </r>
        <r>
          <rPr>
            <sz val="9"/>
            <color indexed="81"/>
            <rFont val="Tahoma"/>
            <family val="2"/>
          </rPr>
          <t xml:space="preserve">
</t>
        </r>
        <r>
          <rPr>
            <b/>
            <sz val="9"/>
            <color indexed="81"/>
            <rFont val="Tahoma"/>
            <family val="2"/>
          </rPr>
          <t xml:space="preserve">(NBSAP- P.29: </t>
        </r>
        <r>
          <rPr>
            <sz val="9"/>
            <color indexed="81"/>
            <rFont val="Tahoma"/>
            <family val="2"/>
          </rPr>
          <t>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r>
      </text>
    </comment>
    <comment ref="BA38" authorId="0">
      <text>
        <r>
          <rPr>
            <sz val="9"/>
            <color indexed="81"/>
            <rFont val="Tahoma"/>
            <family val="2"/>
          </rPr>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r>
      </text>
    </comment>
    <comment ref="ER38" authorId="0">
      <text>
        <r>
          <rPr>
            <b/>
            <sz val="9"/>
            <color indexed="81"/>
            <rFont val="Tahoma"/>
            <family val="2"/>
          </rPr>
          <t>NBSAP-P.25 :
goal7:</t>
        </r>
        <r>
          <rPr>
            <sz val="9"/>
            <color indexed="81"/>
            <rFont val="Tahoma"/>
            <family val="2"/>
          </rPr>
          <t xml:space="preserve"> Increase forest cover  to 9% by 2025 through the improvement of forest management,  and thereby protect forest biodiversity.
</t>
        </r>
        <r>
          <rPr>
            <b/>
            <sz val="9"/>
            <color indexed="81"/>
            <rFont val="Tahoma"/>
            <family val="2"/>
          </rPr>
          <t>Goal 8:</t>
        </r>
        <r>
          <rPr>
            <sz val="9"/>
            <color indexed="81"/>
            <rFont val="Tahoma"/>
            <family val="2"/>
          </rPr>
          <t xml:space="preserve"> Introduce management techniques for the sustainable use and conservation of natural resources, especially game animal resources, by mean of utilizing the creation of partnerships between government, local citizens, and private sector.
</t>
        </r>
        <r>
          <rPr>
            <b/>
            <sz val="9"/>
            <color indexed="81"/>
            <rFont val="Tahoma"/>
            <family val="2"/>
          </rPr>
          <t>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text>
    </comment>
    <comment ref="ET38" authorId="0">
      <text>
        <r>
          <rPr>
            <b/>
            <sz val="9"/>
            <color indexed="81"/>
            <rFont val="Tahoma"/>
            <family val="2"/>
          </rPr>
          <t>NBSAP-P: 23 &amp; 30
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r>
          <rPr>
            <b/>
            <sz val="9"/>
            <color indexed="81"/>
            <rFont val="Tahoma"/>
            <family val="2"/>
          </rPr>
          <t>Goal 10</t>
        </r>
        <r>
          <rPr>
            <sz val="9"/>
            <color indexed="81"/>
            <rFont val="Tahoma"/>
            <family val="2"/>
          </rPr>
          <t xml:space="preserve"> Modernize industrial farming techniques and activities to meet requirements for food safety and conservation of biodiversity in the environment’s agricultural ecosystem.</t>
        </r>
      </text>
    </comment>
    <comment ref="ER39" authorId="0">
      <text>
        <r>
          <rPr>
            <sz val="9"/>
            <color indexed="81"/>
            <rFont val="Tahoma"/>
            <family val="2"/>
          </rPr>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r>
      </text>
    </comment>
    <comment ref="ER40" authorId="1">
      <text>
        <r>
          <rPr>
            <b/>
            <sz val="9"/>
            <color indexed="81"/>
            <rFont val="Tahoma"/>
            <family val="2"/>
          </rPr>
          <t>billy.tsekos:
NBSAP.P.84-Action 8:</t>
        </r>
        <r>
          <rPr>
            <sz val="9"/>
            <color indexed="81"/>
            <rFont val="Tahoma"/>
            <family val="2"/>
          </rPr>
          <t xml:space="preserve"> Recover degraded ecosystems and halt habitat loss </t>
        </r>
      </text>
    </comment>
    <comment ref="ET40" authorId="1">
      <text>
        <r>
          <rPr>
            <b/>
            <sz val="9"/>
            <color indexed="81"/>
            <rFont val="Tahoma"/>
            <family val="2"/>
          </rPr>
          <t>billy.tsekos:</t>
        </r>
        <r>
          <rPr>
            <sz val="9"/>
            <color indexed="81"/>
            <rFont val="Tahoma"/>
            <family val="2"/>
          </rPr>
          <t xml:space="preserve">
</t>
        </r>
        <r>
          <rPr>
            <b/>
            <sz val="9"/>
            <color indexed="81"/>
            <rFont val="Tahoma"/>
            <family val="2"/>
          </rPr>
          <t>NBSAP- P.76: Goal 7</t>
        </r>
        <r>
          <rPr>
            <sz val="9"/>
            <color indexed="81"/>
            <rFont val="Tahoma"/>
            <family val="2"/>
          </rPr>
          <t xml:space="preserve">: Strengthen scientific research on conservation and sustainable use of biodiversity 
</t>
        </r>
      </text>
    </comment>
    <comment ref="ER41" authorId="0">
      <text>
        <r>
          <rPr>
            <b/>
            <sz val="9"/>
            <color indexed="81"/>
            <rFont val="Tahoma"/>
            <family val="2"/>
          </rPr>
          <t xml:space="preserve">Billy Tsekos:
NBSAP-P.49: </t>
        </r>
        <r>
          <rPr>
            <sz val="9"/>
            <color indexed="81"/>
            <rFont val="Tahoma"/>
            <family val="2"/>
          </rPr>
          <t>Biodiversity evaluation and restoring efforts</t>
        </r>
      </text>
    </comment>
    <comment ref="ET41" authorId="1">
      <text>
        <r>
          <rPr>
            <b/>
            <sz val="9"/>
            <color indexed="81"/>
            <rFont val="Tahoma"/>
            <family val="2"/>
          </rPr>
          <t>billy.tsekos:</t>
        </r>
        <r>
          <rPr>
            <sz val="9"/>
            <color indexed="81"/>
            <rFont val="Tahoma"/>
            <family val="2"/>
          </rPr>
          <t xml:space="preserve">
</t>
        </r>
        <r>
          <rPr>
            <b/>
            <sz val="9"/>
            <color indexed="81"/>
            <rFont val="Tahoma"/>
            <family val="2"/>
          </rPr>
          <t>NBSAP-P.49:</t>
        </r>
        <r>
          <rPr>
            <sz val="9"/>
            <color indexed="81"/>
            <rFont val="Tahoma"/>
            <family val="2"/>
          </rPr>
          <t xml:space="preserve"> Biodiversity evaluation and restoring efforts</t>
        </r>
      </text>
    </comment>
    <comment ref="Z42" authorId="0">
      <text>
        <r>
          <rPr>
            <b/>
            <sz val="9"/>
            <color indexed="81"/>
            <rFont val="Tahoma"/>
            <family val="2"/>
          </rPr>
          <t>breakdown of area of different ecosystems in each region</t>
        </r>
        <r>
          <rPr>
            <sz val="9"/>
            <color indexed="81"/>
            <rFont val="Tahoma"/>
            <family val="2"/>
          </rPr>
          <t xml:space="preserve">
</t>
        </r>
      </text>
    </comment>
    <comment ref="AH42" authorId="0">
      <text>
        <r>
          <rPr>
            <b/>
            <sz val="9"/>
            <color indexed="81"/>
            <rFont val="Tahoma"/>
            <family val="2"/>
          </rPr>
          <t>Map - perdida reciente 1992-2012 (by ecosystem?)</t>
        </r>
        <r>
          <rPr>
            <sz val="9"/>
            <color indexed="81"/>
            <rFont val="Tahoma"/>
            <family val="2"/>
          </rPr>
          <t xml:space="preserve">
En relación al progreso hacia esta meta, el análisis realizado señala un nivel de avance
bajo con tendencia a empeorar en relación a la meta. Esta aseveración se fundamenta,
por una parte, en resultados obtenidos de estudios realizados recientemente que dan
cuenta de cambios ocurridos en la superficie de ecosistemas de bosques naturales,
señalando que solo en los últimos 20 años, existen ecosistemas que han perdido hasta
un 26% de su superficie (ecosistemas de la zona costera de la VII Región del Maule y
VIII Región del Bío Bío), así como 11 ecosistemas que han perdido entre un 10-20% de
sus superficie en este período, debido al reemplazo del suelo para el establecimiento
de nuevas plantaciones forestales en dichas zonas (Figura N° 5)154.
Un estudio reciente155 calculó la deforestación ocurrida entre los años 2001 y 2013 en la
V Región de Valparaíso, la Región Metropolitana y en la VI Región del Libertador General
Bernardo O’Higgins, obteniendo que en dicho período para la zona central se produjo
una pérdida de bosque de alrededor de 70.000 hectáreas por cambios de la cobertura
de suelo, lo que equivale a una pérdida por deforestación de 9.602.267 de toneladas
(t) de CO2. Los tres principales motores de cambio serían la sobreexplotación de los
bosques (40%), la agricultura (21%) y el establecimiento de monocultivos de Pinus radiata
y Eucalyptus sp. (18%). Así, se registró una tasa de pérdida anual estimada en el
período 2001 – 2013 de 0,39% para la V Región de Valparaíso; de 0,35% para la Región
Metropolitana y de 0,62% para la VI Región del Libertador General Bernardo O’Higgins.
Por otro lado, el análisis realizado para determinar la superficie degradada en el período
señalado, obtuvo que en la zona central de Chile, en el período 2001-2004 se degradaron
444.160 hectáreas; en el período 2004-2009 se degradaron 515.494 hectáreas y en el
período 2009-2013 se degradaron 700.460 hectáreas. Para dichos períodos asimismo, las
emisiones de CO2 producto de la degradación para cada período fueron de 13.124.242
t de CO2 ; 21.763.767 t de CO2 y 40.480.703 t de CO2 , respectivamente.
Es importante destacar que en los últimos años, la pérdida de bosque nativo ocurrida
en la zona central de nuestro país ha sido significativa36, lo cual ha sido reportado por
varios estudios realizados, llegándose a reportar tasas de pérdida de bosque nativo de
entre 3,5% y 4,5%37 al año. Asimismo, en la actualidad, en la zona central permanece un
área restante o remanente38 de bosque nativo que varía desde solo un 1% en bosques
de ecotono en la Región del Maule hasta un 35% en la Región de Los Ríos39.
Los ecosistemas de uso antrópico, por su parte, han pasado a ocupar un 12% de la
superficie nacional, debido a la transformación ejercida de ecosistemas naturales, bosques,
matorrales, desiertos y estepas, los cuales han sido intervenidos para construcción
de residencias, carreteras y el desarrollo de actividades productivas.
Un estudio llevado a cabo recientemente para evaluar la superficie remanente de los
ecosistemas terrestres naturales40, evidenció la presencia de ecosistemas que en la
actualidad solo cuentan con un 15% de su distribución histórica (Bosque esclerofilo
psamófilo mediterráneo interior de Quillaja saponaria y Fabiana imbricata; Bosque caducifolio
templado de Nothofagus obliqua y Persea lingue) así como dio cuenta de otros
10 ecosistemas que tienen menos de un 40% de su superficie remanente, todos estos
se ubican en las zonas costeras e interior entre la V Región de Valparaíso y la VIII Región
del Bío Bío (Figura N°5a).</t>
        </r>
      </text>
    </comment>
    <comment ref="AO42" authorId="0">
      <text>
        <r>
          <rPr>
            <b/>
            <sz val="9"/>
            <color indexed="81"/>
            <rFont val="Tahoma"/>
            <family val="2"/>
          </rPr>
          <t>Assessment of ecological state of 10 cuencas hidrografias p 26
Estado trofico en lagos p 27
Map - superficie remanente actual de los ecosistemas terrestres naturales de Chile p. 21
estado trofico de humedales costeros - p 129</t>
        </r>
        <r>
          <rPr>
            <sz val="9"/>
            <color indexed="81"/>
            <rFont val="Tahoma"/>
            <family val="2"/>
          </rPr>
          <t xml:space="preserve">
Un estudio llevado a cabo recientemente para evaluar la superficie remanente de los
ecosistemas terrestres naturales40, evidenció la presencia de ecosistemas que en la
actualidad solo cuentan con un 15% de su distribución histórica (Bosque esclerofilo
psamófilo mediterráneo interior de Quillaja saponaria y Fabiana imbricata; Bosque caducifolio templado de Nothofagus obliqua y Persea lingue) así como dio cuenta de otros
10 ecosistemas que tienen menos de un 40% de su superficie remanente, todos estos
se ubican en las zonas costeras e interior entre la V Región de Valparaíso y la VIII Región
del Bío Bío (Figura N°5a).
Respecto del reemplazo de los ecosistemas terrestres experimentados en los últimos 20
años, es decir entre 1992 y 2012, se identificaron ecosistemas que han perdido alrededor
de un 26% de su superficie dentro de este periodo, los cuales corresponden a los ecosistemas
de Bosque mixto templado costero de Nothofagus dombeyi y N. obliqua y al Bosque
caducifolio mediterráneo-templado costero de Nothofagus obliqua y Gomortega keule,
ubicados en la zona costera de la VII Región del Maule y la VIII Región del Bío Bío. Además
otros 11 ecosistemas de la zona central del país han perdido entre un 10 y un 20% de su
superficie en los últimos 20 años, este reemplazo ha sido producido principalmente por el
establecimiento de nuevas plantaciones forestales en dichas zonas (Figura N°5b).
</t>
        </r>
      </text>
    </comment>
    <comment ref="BX42" authorId="0">
      <text>
        <r>
          <rPr>
            <b/>
            <sz val="9"/>
            <color indexed="81"/>
            <rFont val="Tahoma"/>
            <family val="2"/>
          </rPr>
          <t>Además
otros 11 ecosistemas de la zona central del país han perdido entre un 10 y un 20% de su
superficie en los últimos 20 años, este reemplazo ha sido producido principalmente por el
establecimiento de nuevas plantaciones forestales en dichas zonas (Figura N°5b).</t>
        </r>
      </text>
    </comment>
    <comment ref="CK42" authorId="0">
      <text>
        <r>
          <rPr>
            <b/>
            <sz val="9"/>
            <color indexed="81"/>
            <rFont val="Tahoma"/>
            <family val="2"/>
          </rPr>
          <t xml:space="preserve">map of carbon stores p15
</t>
        </r>
        <r>
          <rPr>
            <sz val="9"/>
            <color indexed="81"/>
            <rFont val="Tahoma"/>
            <family val="2"/>
          </rPr>
          <t>En el caso de la captura de carbono y la participación del bosque nativo en este mercado,
existen estudios que permiten realizar una aproximación del potencial económico que
tiene el bosque nativo de prestar servicios de fijación y captación de CO2 , utilizando como
parámetros para bosque primario la tasa de fijación neto con un valor de 0,83 mg de C /
ha/ año; para almacenamiento un valor promedio 187 mg de C/ha11 y para el caso de los bosques secundarios, una tasa de fijación de 2,5 Mg C /ha/ año12 y existencias medias en biomasa fustal de 172 mg</t>
        </r>
        <r>
          <rPr>
            <b/>
            <sz val="9"/>
            <color indexed="81"/>
            <rFont val="Tahoma"/>
            <family val="2"/>
          </rPr>
          <t xml:space="preserve"> de C /ha13.</t>
        </r>
      </text>
    </comment>
    <comment ref="CV42" authorId="0">
      <text>
        <r>
          <rPr>
            <b/>
            <sz val="9"/>
            <color indexed="81"/>
            <rFont val="Tahoma"/>
            <family val="2"/>
          </rPr>
          <t>Action plan</t>
        </r>
      </text>
    </comment>
    <comment ref="CW42" authorId="0">
      <text>
        <r>
          <rPr>
            <b/>
            <sz val="9"/>
            <color indexed="81"/>
            <rFont val="Tahoma"/>
            <family val="2"/>
          </rPr>
          <t>but assessment of representativity of PA network</t>
        </r>
      </text>
    </comment>
    <comment ref="ER42" authorId="1">
      <text>
        <r>
          <rPr>
            <b/>
            <sz val="9"/>
            <color indexed="81"/>
            <rFont val="Tahoma"/>
            <family val="2"/>
          </rPr>
          <t>billy.tsekos:</t>
        </r>
        <r>
          <rPr>
            <sz val="9"/>
            <color indexed="81"/>
            <rFont val="Tahoma"/>
            <family val="2"/>
          </rPr>
          <t xml:space="preserve">
</t>
        </r>
        <r>
          <rPr>
            <b/>
            <sz val="9"/>
            <color indexed="81"/>
            <rFont val="Tahoma"/>
            <family val="2"/>
          </rPr>
          <t>NR- P.28:</t>
        </r>
        <r>
          <rPr>
            <sz val="9"/>
            <color indexed="81"/>
            <rFont val="Tahoma"/>
            <family val="2"/>
          </rPr>
          <t xml:space="preserve"> Conserve threatened and endangered species by enabling the species to survive in their natural habitats 
</t>
        </r>
        <r>
          <rPr>
            <b/>
            <sz val="9"/>
            <color indexed="81"/>
            <rFont val="Tahoma"/>
            <family val="2"/>
          </rPr>
          <t xml:space="preserve">NR- P.41: Actions: </t>
        </r>
        <r>
          <rPr>
            <sz val="9"/>
            <color indexed="81"/>
            <rFont val="Tahoma"/>
            <family val="2"/>
          </rPr>
          <t xml:space="preserve">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r>
      </text>
    </comment>
    <comment ref="ET42" authorId="1">
      <text>
        <r>
          <rPr>
            <sz val="9"/>
            <color indexed="81"/>
            <rFont val="Tahoma"/>
            <family val="2"/>
          </rPr>
          <t xml:space="preserve">billy.tsekos:
</t>
        </r>
        <r>
          <rPr>
            <b/>
            <sz val="9"/>
            <color indexed="81"/>
            <rFont val="Tahoma"/>
            <family val="2"/>
          </rPr>
          <t>NR- P.46 Action</t>
        </r>
        <r>
          <rPr>
            <sz val="9"/>
            <color indexed="81"/>
            <rFont val="Tahoma"/>
            <family val="2"/>
          </rPr>
          <t xml:space="preserve">
 Efforts are in place to restore forest lands and forest regeneration is listed as one of the main REDD+ activities to be implemented as part of the Carbon Fund Emission Reduction Programme
</t>
        </r>
        <r>
          <rPr>
            <b/>
            <sz val="9"/>
            <color indexed="81"/>
            <rFont val="Tahoma"/>
            <family val="2"/>
          </rPr>
          <t xml:space="preserve">NR- P.89: </t>
        </r>
        <r>
          <rPr>
            <sz val="9"/>
            <color indexed="81"/>
            <rFont val="Tahoma"/>
            <family val="2"/>
          </rPr>
          <t>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r>
      </text>
    </comment>
    <comment ref="Z43" authorId="1">
      <text>
        <r>
          <rPr>
            <b/>
            <sz val="9"/>
            <color indexed="81"/>
            <rFont val="Tahoma"/>
            <family val="2"/>
          </rPr>
          <t>billy.tsekos:</t>
        </r>
        <r>
          <rPr>
            <sz val="9"/>
            <color indexed="81"/>
            <rFont val="Tahoma"/>
            <family val="2"/>
          </rPr>
          <t xml:space="preserve">
</t>
        </r>
        <r>
          <rPr>
            <b/>
            <sz val="9"/>
            <color indexed="81"/>
            <rFont val="Tahoma"/>
            <family val="2"/>
          </rPr>
          <t>NR-P.16:</t>
        </r>
        <r>
          <rPr>
            <sz val="9"/>
            <color indexed="81"/>
            <rFont val="Tahoma"/>
            <family val="2"/>
          </rPr>
          <t xml:space="preserve">Table 1.1 Distribution of Terrestrial Ecosystems of China and Percentage of Areas of All Ecosystems in 2010  
</t>
        </r>
        <r>
          <rPr>
            <b/>
            <sz val="9"/>
            <color indexed="81"/>
            <rFont val="Tahoma"/>
            <family val="2"/>
          </rPr>
          <t>NR-P.79:Continuing implementation of key forestry and ecological projects.</t>
        </r>
        <r>
          <rPr>
            <sz val="9"/>
            <color indexed="81"/>
            <rFont val="Tahoma"/>
            <family val="2"/>
          </rPr>
          <t xml:space="preserve"> In the past decade, China has completed reforestation covering an area of 83,000 km2 through the natural forest resources protection project. Currently the forest area of 1.049 million km2 has been effectively protected, with net increase in the forest area by 100,000 km2, and the forest coverage rate increased by 3.8% and the forest reserves by 730 million m3. China has also completed reforestation covering an area of 218,000 km2 through implementing the project of returning cultivated land to forests, with the forest coverage rate in the project implemented area increased by 3%. Reforestation of additional area of 83,000 km2 completed through forest belt building in north, northeast and northwest China as well as in the Yangtse River Basin, with the forest coverage rate in the project areas increased to 12.4% and ecological conditions in these areas obviously improving. During the decade when the sandstorm control project was implemented, additional area of 89,000 km2 was reforested and the forest coverage rate in the project area increased by 4.1%, with sound evolutionary changes occurred in the flora of the area. An area of 30,000 km2 of the rocky regions has been controlled cumulatively with the vegetation coverage rate being 15% higher than that before the project was implemented. During 2006-2010 altogether 205 demonstration projects of  wetland conservation and restoration were completed, with 800 km2 of wetlands restored. </t>
        </r>
      </text>
    </comment>
    <comment ref="AH43"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 xml:space="preserve">Forest resources in China have been increasing constantly, with forest areas increased by 23%, forest coverage rate by 3.8% and forest reserves by 21.8% compared with those of a decade ago. A number of wetlands of national and international importance have been rescued and protected, with the protection rate of natural wetlands increasing by over 1% on the average annually. As a result, about a half of natural wetlands has been effectively protected. The area where mangroves and degraded wetlands in the near-shore coastal areas such as tidal flats have been restored has exceeded 2,800 km2 , as a result of an investment of 4.43 billion yuan RMB. 
The area covered by soil erosion control reached 270,000 km2 as a result of integrated control measures taken in 12,000 small river basins. The area enclosed for reforestation and conservation has reached 720,000 km2, with initial ecological recovery occurring in areas of 450,000 km2. Since 2008, the central government has allocated specialized funds of 19.5 billion yuan RMB for rural environment improvement. These funds supported environmental improvements in 46,000 villages and more than 87 million people in rural areas benefited from these efforts. The implementation of key ecological projects has enhanced recovery of degraded ecosystems and habitats for wild species, thus effectively conserving biodiversity. 
</t>
        </r>
        <r>
          <rPr>
            <b/>
            <sz val="9"/>
            <color indexed="81"/>
            <rFont val="Tahoma"/>
            <family val="2"/>
          </rPr>
          <t xml:space="preserve">NR-P.102:Figure 4.1 </t>
        </r>
        <r>
          <rPr>
            <sz val="9"/>
            <color indexed="81"/>
            <rFont val="Tahoma"/>
            <family val="2"/>
          </rPr>
          <t xml:space="preserve">Net changes in areas of terrestrial ecosystems in China during 2000-2010 (km2)
</t>
        </r>
        <r>
          <rPr>
            <b/>
            <sz val="9"/>
            <color indexed="81"/>
            <rFont val="Tahoma"/>
            <family val="2"/>
          </rPr>
          <t xml:space="preserve">
NR-P.103: Figure 4.2 </t>
        </r>
        <r>
          <rPr>
            <sz val="9"/>
            <color indexed="81"/>
            <rFont val="Tahoma"/>
            <family val="2"/>
          </rPr>
          <t xml:space="preserve">Changes in Areas of Natural Forests in China in Different Periods of Time
</t>
        </r>
        <r>
          <rPr>
            <b/>
            <sz val="9"/>
            <color indexed="81"/>
            <rFont val="Tahoma"/>
            <family val="2"/>
          </rPr>
          <t xml:space="preserve">NR-P.103: Figure 4.3 </t>
        </r>
        <r>
          <rPr>
            <sz val="9"/>
            <color indexed="81"/>
            <rFont val="Tahoma"/>
            <family val="2"/>
          </rPr>
          <t xml:space="preserve">Changes in Forest Growing Stock in China in Different Periods of Time 
</t>
        </r>
      </text>
    </comment>
    <comment ref="AO43"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The overexploitation and use of wild biological resources has led to drastic decreases in species and populations as well as depletion or degradation of biological resources. Overgrazing of grasslands is serious. The rate of overgrazing exceeding capacities of key grasslands in China is 28% (Grassland Monitoring and Management Center, Ministry of Agriculture, 2012). Overgrazing for long time has degraded and desertified grasslands. By now 90% of grasslands in China have been degraded or desertified to varying degrees.</t>
        </r>
      </text>
    </comment>
    <comment ref="AV43"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 xml:space="preserve">The land reclamation from wetlands undertaken from the 1950's to the 1990's has drastically shrunk the areas of wetlands. Despite some increases in the area of inland water in recent years, the area of land reclamation from tidal flats is still increasing. The area of land reclamation from the seas from 2008 to 2012 reached 650.6 km2 . As a result of land reclamation from tidal flats, the mangrove of China has decreased by about two-thirds, causing direct damage to habitats and reproduction sites for some important protected species. The total area of land reclamation from grasslands since the 1950's has come up to 193,000 km2 , with 18.2% of the total existing arable land of China coming from grassland reclamation (Fan et al., 2002). 
</t>
        </r>
        <r>
          <rPr>
            <b/>
            <sz val="9"/>
            <color indexed="81"/>
            <rFont val="Tahoma"/>
            <family val="2"/>
          </rPr>
          <t>NR-P.22:</t>
        </r>
        <r>
          <rPr>
            <sz val="9"/>
            <color indexed="81"/>
            <rFont val="Tahoma"/>
            <family val="2"/>
          </rPr>
          <t xml:space="preserve"> Biodiversity loss will increase vulnerabilities of ecosystems. Loss of components of biodiversity, in particular decrease in functional diversity and ecosystem diversity at landscape level, will lead to decrease in ecosystem stability. Mangroves and coral reefs are rich sources of biodiversity as well as very good buffers of floods and storms. If mangroves and coral reefs are damaged, floods in coastal areas will increase, seriously affecting mari-culturing and houses of the residents in coastal areas. Excessive deforestation will cause soil erosion which is one of the important causes of landslides. </t>
        </r>
      </text>
    </comment>
    <comment ref="BA43" authorId="0">
      <text>
        <r>
          <rPr>
            <b/>
            <sz val="9"/>
            <color indexed="81"/>
            <rFont val="Tahoma"/>
            <family val="2"/>
          </rPr>
          <t>NR- P. 28:</t>
        </r>
        <r>
          <rPr>
            <sz val="9"/>
            <color indexed="81"/>
            <rFont val="Tahoma"/>
            <family val="2"/>
          </rPr>
          <t xml:space="preserve">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r>
      </text>
    </comment>
    <comment ref="BD43" authorId="1">
      <text>
        <r>
          <rPr>
            <b/>
            <sz val="9"/>
            <color indexed="81"/>
            <rFont val="Tahoma"/>
            <family val="2"/>
          </rPr>
          <t>billy.tsekos:</t>
        </r>
        <r>
          <rPr>
            <sz val="9"/>
            <color indexed="81"/>
            <rFont val="Tahoma"/>
            <family val="2"/>
          </rPr>
          <t xml:space="preserve">
2020</t>
        </r>
      </text>
    </comment>
    <comment ref="BE43" authorId="3">
      <text>
        <r>
          <rPr>
            <b/>
            <sz val="10"/>
            <color indexed="81"/>
            <rFont val="Calibri"/>
          </rPr>
          <t xml:space="preserve">2010
</t>
        </r>
      </text>
    </comment>
    <comment ref="BF43" authorId="1">
      <text>
        <r>
          <rPr>
            <b/>
            <sz val="9"/>
            <color indexed="81"/>
            <rFont val="Tahoma"/>
            <family val="2"/>
          </rPr>
          <t>billy.tsekos:</t>
        </r>
        <r>
          <rPr>
            <sz val="9"/>
            <color indexed="81"/>
            <rFont val="Tahoma"/>
            <family val="2"/>
          </rPr>
          <t xml:space="preserve">
other = grassland</t>
        </r>
      </text>
    </comment>
    <comment ref="BH43" authorId="1">
      <text>
        <r>
          <rPr>
            <b/>
            <sz val="9"/>
            <color indexed="81"/>
            <rFont val="Tahoma"/>
            <family val="2"/>
          </rPr>
          <t>billy.tsekos:</t>
        </r>
        <r>
          <rPr>
            <sz val="9"/>
            <color indexed="81"/>
            <rFont val="Tahoma"/>
            <family val="2"/>
          </rPr>
          <t xml:space="preserve">
</t>
        </r>
        <r>
          <rPr>
            <b/>
            <sz val="9"/>
            <color indexed="81"/>
            <rFont val="Tahoma"/>
            <family val="2"/>
          </rPr>
          <t>NR-P.20: I</t>
        </r>
        <r>
          <rPr>
            <sz val="9"/>
            <color indexed="81"/>
            <rFont val="Tahoma"/>
            <family val="2"/>
          </rPr>
          <t xml:space="preserve">ncidents of grassland reclamation are still occurring in recent years. Railway and road construction has fragmented habitats for wild plants and animals, posing direct threat to reproduction of these populations. China's hydropower generation capacity has exceeded 230 million kilowatts, ranking top in the world, however dam building and flood control facilities have fragmented or obstructed rivers and lakes and drastically changed the natural conditions of water courses, causing disastrous impacts on reproduction of fishes (Xu, 2006). </t>
        </r>
      </text>
    </comment>
    <comment ref="BI43" authorId="0">
      <text>
        <r>
          <rPr>
            <b/>
            <sz val="9"/>
            <color indexed="81"/>
            <rFont val="Tahoma"/>
            <family val="2"/>
          </rPr>
          <t xml:space="preserve">(NR-P. 31) 
</t>
        </r>
        <r>
          <rPr>
            <sz val="9"/>
            <color indexed="81"/>
            <rFont val="Tahoma"/>
            <family val="2"/>
          </rPr>
          <t>-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t>
        </r>
        <r>
          <rPr>
            <b/>
            <sz val="9"/>
            <color indexed="81"/>
            <rFont val="Tahoma"/>
            <family val="2"/>
          </rPr>
          <t xml:space="preserve">. </t>
        </r>
      </text>
    </comment>
    <comment ref="BL43" authorId="1">
      <text>
        <r>
          <rPr>
            <b/>
            <sz val="9"/>
            <color indexed="81"/>
            <rFont val="Tahoma"/>
            <family val="2"/>
          </rPr>
          <t>billy.tsekos:</t>
        </r>
        <r>
          <rPr>
            <sz val="9"/>
            <color indexed="81"/>
            <rFont val="Tahoma"/>
            <family val="2"/>
          </rPr>
          <t xml:space="preserve">
</t>
        </r>
        <r>
          <rPr>
            <b/>
            <sz val="9"/>
            <color indexed="81"/>
            <rFont val="Tahoma"/>
            <family val="2"/>
          </rPr>
          <t>NR-P.50: Establishing funds for compensating forest ecological benefits</t>
        </r>
        <r>
          <rPr>
            <sz val="9"/>
            <color indexed="81"/>
            <rFont val="Tahoma"/>
            <family val="2"/>
          </rPr>
          <t xml:space="preserve">. In 2004 China established national funds for compensation of forest ecological benefits, which subsidize plantation, nurturing, conservation and management of national-level public benefits forests, with funding allocated from the central government budgets. Among them, a subsidy of 75 yuan per hectare is provided annually for state-owned national-level public benefits forests, and 225 yuan per hectare annually for national-level public benefits forests owned collectively and privately. Currently the areas that have received such subsidies have reached 924,000 km2. In 2013 the central government provided a total of 14.9 billion yuan RMB for compensation for ecological benefits of forests. Local governments also compensated for local public benefits forests. </t>
        </r>
      </text>
    </comment>
    <comment ref="BP43" authorId="1">
      <text>
        <r>
          <rPr>
            <b/>
            <sz val="9"/>
            <color indexed="81"/>
            <rFont val="Tahoma"/>
            <family val="2"/>
          </rPr>
          <t>billy.tsekos:</t>
        </r>
        <r>
          <rPr>
            <sz val="9"/>
            <color indexed="81"/>
            <rFont val="Tahoma"/>
            <family val="2"/>
          </rPr>
          <t xml:space="preserve">
</t>
        </r>
        <r>
          <rPr>
            <b/>
            <sz val="9"/>
            <color indexed="81"/>
            <rFont val="Tahoma"/>
            <family val="2"/>
          </rPr>
          <t xml:space="preserve">NR-P.43: </t>
        </r>
        <r>
          <rPr>
            <sz val="9"/>
            <color indexed="81"/>
            <rFont val="Tahoma"/>
            <family val="2"/>
          </rPr>
          <t xml:space="preserve">Key ecological projects continued to be implemented, such as natural forest resources protection, returning cultivated land to forest, construction of forest belts in north, northeast and northwest China as well as in the Yangtse River Basin, control of origins of sandstorms affecting Beijing and Tianjin and control of desertification in rocky Karst areas. Since 2001, ecological conditions of key project regions have improved obviously. Forest resources across the country have increased constantly, with reforestation area increased by 482,000 km2 and forest coverage area increased by 23.0% over that of a decade ago. The current forest coverage rate has reached 20.4%, 3.8% increase over that of a decade ago. The forest reserves have reached 3.72 billion m3 , 21.8% increase over that of a decade ago. These projects have also enhanced restoration of habitats of wild species and the rise in the population and number of species.
The project of returning grazing land to natural grasslands has been implemented. Since the beginning of the project in 2003, by 2012, grassland fences covering an area of 606,000 km2  have been established, among them, 262,000 km2 for grazing ban fences, 317,000 km2 for fences for temporarily stopping grazing, 27,000 km2 for alternating grazing and 153,000 km2  for reseeding seriously degraded grasslands. The average vegetation rate in the project implemented areas is 64%, 12% higher than that of the non-project areas. The fresh grass output per mu in the project areas has reached 212 kg, 70% or so higher than that from the non-project areas. Vegetation structure is gradually stabilizing with biodiversity being improved and good-quality grass percentage obviously going up.
</t>
        </r>
        <r>
          <rPr>
            <b/>
            <sz val="9"/>
            <color indexed="81"/>
            <rFont val="Tahoma"/>
            <family val="2"/>
          </rPr>
          <t>NR-P.155:</t>
        </r>
        <r>
          <rPr>
            <sz val="9"/>
            <color indexed="81"/>
            <rFont val="Tahoma"/>
            <family val="2"/>
          </rPr>
          <t xml:space="preserve">Remarkable achievements have been made in conservation and restoration of grassland ecosystems. Compared with areas without such projects implemented, vegetation coverage of grasslands in project areas increased by 11%, grass height increased by 43.1%, and fresh grass output increased by 50.7%. The situation of grassland use is considerably improving, with the rate of overcapacity use of grasslands in 268 counties in 2012 down by 34.5%-36.2% compared with the situation in 2011. However overall most of grasslands are being used beyond their capacities and degradation, desertification and salinization of grasslands have not been effectively controlled. </t>
        </r>
      </text>
    </comment>
    <comment ref="BT43" authorId="1">
      <text>
        <r>
          <rPr>
            <b/>
            <sz val="9"/>
            <color indexed="81"/>
            <rFont val="Tahoma"/>
            <family val="2"/>
          </rPr>
          <t>billy.tsekos:</t>
        </r>
        <r>
          <rPr>
            <sz val="9"/>
            <color indexed="81"/>
            <rFont val="Tahoma"/>
            <family val="2"/>
          </rPr>
          <t xml:space="preserve">
- By 2020, forest areas will be increased by 52,000 km2 over that in 2010, and forest reserves net  increased by 1.1 billion km2 over that in 2010, and forest carbon sinks by  416 million tons. </t>
        </r>
      </text>
    </comment>
    <comment ref="BX43" authorId="1">
      <text>
        <r>
          <rPr>
            <b/>
            <sz val="9"/>
            <color indexed="81"/>
            <rFont val="Tahoma"/>
            <family val="2"/>
          </rPr>
          <t>billy.tsekos:</t>
        </r>
        <r>
          <rPr>
            <sz val="9"/>
            <color indexed="81"/>
            <rFont val="Tahoma"/>
            <family val="2"/>
          </rPr>
          <t xml:space="preserve">
</t>
        </r>
        <r>
          <rPr>
            <b/>
            <sz val="9"/>
            <color indexed="81"/>
            <rFont val="Tahoma"/>
            <family val="2"/>
          </rPr>
          <t xml:space="preserve">(NR-P. 20) </t>
        </r>
        <r>
          <rPr>
            <sz val="9"/>
            <color indexed="81"/>
            <rFont val="Tahoma"/>
            <family val="2"/>
          </rPr>
          <t xml:space="preserve">
1. Degradation or loss of habitats for wild species
2. Overexploitation of natural resources 
3. Large-scale plantation of single species 
4. Invasive alien species 
5. Climate Change
</t>
        </r>
        <r>
          <rPr>
            <b/>
            <sz val="9"/>
            <color indexed="81"/>
            <rFont val="Tahoma"/>
            <family val="2"/>
          </rPr>
          <t xml:space="preserve">
(NR-P. 56) </t>
        </r>
        <r>
          <rPr>
            <sz val="9"/>
            <color indexed="81"/>
            <rFont val="Tahoma"/>
            <family val="2"/>
          </rPr>
          <t xml:space="preserve">
 The ecological degradation trend is slowing down and ecosystems in some regions are being restored.
(a) The forest resources have been constantly increasing, with forest areas increased by 23% over that of a decade ago and forest reserves by 21.8% over that of a decade ago.
(b) The areas where soil erosion has been prevented and controlled have reached 270,000 km2 , covering 12,000 small river basins. The areas where enclosure for conservation was implemented have reached 720,000 km2 , and among them, ecological recovery is occurring in areas of 450,000 km2.</t>
        </r>
      </text>
    </comment>
    <comment ref="CC43" authorId="1">
      <text>
        <r>
          <rPr>
            <b/>
            <sz val="9"/>
            <color indexed="81"/>
            <rFont val="Tahoma"/>
            <family val="2"/>
          </rPr>
          <t>billy.tsekos:</t>
        </r>
        <r>
          <rPr>
            <sz val="9"/>
            <color indexed="81"/>
            <rFont val="Tahoma"/>
            <family val="2"/>
          </rPr>
          <t xml:space="preserve">
</t>
        </r>
        <r>
          <rPr>
            <b/>
            <sz val="9"/>
            <color indexed="81"/>
            <rFont val="Tahoma"/>
            <family val="2"/>
          </rPr>
          <t xml:space="preserve">(NR-P. 86) </t>
        </r>
        <r>
          <rPr>
            <sz val="9"/>
            <color indexed="81"/>
            <rFont val="Tahoma"/>
            <family val="2"/>
          </rPr>
          <t>In 2012 the State Council approved the National 12th Five-year Plan for Marine Development. This plan proposed that by 2020 land-based pollution will be  effectively controlled; the environmental degradation of near-shore marine areas will be fundamentally reversed and the trend of marine biodiversity decline will be basically contained. The plan also identified some important actions such as strengthening conservation of marine biodiversity, enhancing restoration of marine ecosystems and strengthening marine ecological monitoring and management of ecological disasters.</t>
        </r>
      </text>
    </comment>
    <comment ref="CK43"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Wetlands are also a big sink of carbons whose carbon storage capacity is 35% of the totality of the terrestrial ecosystems.</t>
        </r>
      </text>
    </comment>
    <comment ref="CQ43"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In addition to effective control of GHG emissions, the National Twelfth Five-year
Plan for Economic and Social Development also required that capacities to adapt to
climate change should be strengthened, including adaptation of agriculture, forestry,
water resources and other key sectors, and of coastal and ecologically vulnerable areas
to climate change.</t>
        </r>
      </text>
    </comment>
    <comment ref="CV43" authorId="1">
      <text>
        <r>
          <rPr>
            <b/>
            <sz val="9"/>
            <color indexed="81"/>
            <rFont val="Tahoma"/>
            <family val="2"/>
          </rPr>
          <t>billy.tsekos:</t>
        </r>
        <r>
          <rPr>
            <sz val="9"/>
            <color indexed="81"/>
            <rFont val="Tahoma"/>
            <family val="2"/>
          </rPr>
          <t xml:space="preserve">
</t>
        </r>
        <r>
          <rPr>
            <b/>
            <sz val="9"/>
            <color indexed="81"/>
            <rFont val="Tahoma"/>
            <family val="2"/>
          </rPr>
          <t xml:space="preserve">NR-P.82: </t>
        </r>
        <r>
          <rPr>
            <sz val="9"/>
            <color indexed="81"/>
            <rFont val="Tahoma"/>
            <family val="2"/>
          </rPr>
          <t xml:space="preserve">Undertaking surveys and monitoring of biodiversity. SFA has been gradually surveying and monitoring forest, wetland and desert ecosystems and biodiversity. During 2009-2013 the eighth national survey of forest resources was undertaken, capturing the latest status of forest coverage rate, forest growing stock and diversity of forest types. The fourth national survey on desertification and land degradation completed in 2009 indicates that by the end of 2009, the area of desertification in China is 2.624 million km2 , an annual reduction by 2,491 km2 compared with the situation five years ago. The current situation is that the overall trend of desertification has been contained while deserts in some regions are still expanding. The average vegetation coverage rate in deserts increased from 17% in 2004 to 17.6% in 2009, with obvious increases in plant species and stability of plant communities in key controlled areas. </t>
        </r>
      </text>
    </comment>
    <comment ref="CW43" authorId="1">
      <text>
        <r>
          <rPr>
            <b/>
            <sz val="9"/>
            <color indexed="81"/>
            <rFont val="Tahoma"/>
            <family val="2"/>
          </rPr>
          <t>billy.tsekos:</t>
        </r>
        <r>
          <rPr>
            <sz val="9"/>
            <color indexed="81"/>
            <rFont val="Tahoma"/>
            <family val="2"/>
          </rPr>
          <t xml:space="preserve">
</t>
        </r>
        <r>
          <rPr>
            <b/>
            <sz val="9"/>
            <color indexed="81"/>
            <rFont val="Tahoma"/>
            <family val="2"/>
          </rPr>
          <t>NR-P.4:</t>
        </r>
        <r>
          <rPr>
            <sz val="9"/>
            <color indexed="81"/>
            <rFont val="Tahoma"/>
            <family val="2"/>
          </rPr>
          <t xml:space="preserve"> A system of in-situ conservation has been established composed primarily of
nature reserves and complemented by scenic spots, forest parks, community-based conservation areas, protected sites of wild plants, wetland parks, desert parks, geological parks, special marine protected areas and germplasm conservation farms. By the end of 2013, China has established 2,697 nature reserves, covering an area of about 1.463 million km2 which accounts for about 14.8% of China's land area. China has also established 2,855 forest parks, covering an area of 174,000 km2 as well as 225 national-level scenic spots and 737 province-level scenic spots, covering an area of about 194,000 km2 or 2% of China's land area. In addition, over 50,000 community-based conservation areas have been established, covering over 15,000 km2 ; 179 national-level protected sites of agricultural wild plants and 468 wetland parks have been established. 45 national-level special marine protected areas (marine parks) have been established, covering a total area of 66,800 km2, and 368 national-level conservation areas for aquatic germplasm resources have been set up,covering an area of over 152,000 km2
.</t>
        </r>
      </text>
    </comment>
    <comment ref="DF43" authorId="1">
      <text>
        <r>
          <rPr>
            <b/>
            <sz val="9"/>
            <color indexed="81"/>
            <rFont val="Tahoma"/>
            <family val="2"/>
          </rPr>
          <t>billy.tsekos:</t>
        </r>
        <r>
          <rPr>
            <sz val="9"/>
            <color indexed="81"/>
            <rFont val="Tahoma"/>
            <family val="2"/>
          </rPr>
          <t xml:space="preserve">
</t>
        </r>
        <r>
          <rPr>
            <sz val="10"/>
            <color indexed="81"/>
            <rFont val="Times New Roman"/>
            <family val="1"/>
          </rPr>
          <t>Based on its national circumstances, development stage, sustainable development strategy and international responsibility, China has nationally determined its actions by 2030 as follows:
• To achieve the peaking of carbon dioxide emissions around 2030 and making
best efforts to peak early;
• To lower carbon dioxide emissions per unit of GDP by 60% to 65% from the
2005 level;
• To increase the share of non-fossil fuels in primary energy consumption to
around 20%; and
• To increase the forest stock volume by around 4.5 billion cubic meters on the
2005 level.</t>
        </r>
        <r>
          <rPr>
            <sz val="9"/>
            <color indexed="81"/>
            <rFont val="Tahoma"/>
            <family val="2"/>
          </rPr>
          <t xml:space="preserve">
</t>
        </r>
      </text>
    </comment>
    <comment ref="DK43" authorId="1">
      <text>
        <r>
          <rPr>
            <b/>
            <sz val="9"/>
            <color indexed="81"/>
            <rFont val="Tahoma"/>
            <family val="2"/>
          </rPr>
          <t>billy.tsekos:</t>
        </r>
        <r>
          <rPr>
            <sz val="9"/>
            <color indexed="81"/>
            <rFont val="Tahoma"/>
            <family val="2"/>
          </rPr>
          <t xml:space="preserve">
</t>
        </r>
        <r>
          <rPr>
            <sz val="9"/>
            <color indexed="81"/>
            <rFont val="Times New Roman"/>
            <family val="1"/>
          </rPr>
          <t>The 2015 agreement shall stipulate that the Parties, in accordance with the
provisions of the Convention, shall formulate and implement programs and
measures to reduce or limit greenhouse gas emissions for the period 2020-2030
and promote international cooperation on mitigation. Developed countries shall, in accordance with their historical responsibilities, undertake ambitious economywide absolute quantified emissions reduction targets by 2030. Developing countries shall, in the context of sustainable development and supported and enabled by the provision of finance, technology and capacity building by developed countries, undertake diversifying enhanced mitigation actions</t>
        </r>
      </text>
    </comment>
    <comment ref="DL43" authorId="1">
      <text>
        <r>
          <rPr>
            <b/>
            <sz val="9"/>
            <color indexed="81"/>
            <rFont val="Times New Roman"/>
            <family val="1"/>
          </rPr>
          <t>billy.tsekos:</t>
        </r>
        <r>
          <rPr>
            <sz val="9"/>
            <color indexed="81"/>
            <rFont val="Times New Roman"/>
            <family val="1"/>
          </rPr>
          <t xml:space="preserve">
The 2015 agreement shall stipulate that the Parties shall, in accordance with the provisions of the Convention, strengthen international cooperation on adaptation as well as the implementation of adaptation plans and projects at both regional and national levels. Developed countries shall provide support for developing countries to formulate and implement national adaptation plans as well as other related projects. Developing countries will identify their adaptation needs and challenges in their national adaptation plans and take enhanced actions. 
A subsidiary body on adaptation to climate change should be established. The linkage between adaptation and finance, technology and capacity building shall be strengthened. The Warsaw International Mechanism on Loss and Damage shall also be strengthened.</t>
        </r>
        <r>
          <rPr>
            <sz val="9"/>
            <color indexed="81"/>
            <rFont val="Tahoma"/>
            <family val="2"/>
          </rPr>
          <t xml:space="preserve">
</t>
        </r>
      </text>
    </comment>
    <comment ref="Z44" authorId="0">
      <text>
        <r>
          <rPr>
            <b/>
            <sz val="9"/>
            <color indexed="81"/>
            <rFont val="Tahoma"/>
            <family val="2"/>
          </rPr>
          <t>Cambios en la cobertura de bosques en el país en 1990, 2000,
2005 y 2010 (Tomado de Cabrera, E. et al. 2011)</t>
        </r>
      </text>
    </comment>
    <comment ref="AH44" authorId="0">
      <text>
        <r>
          <rPr>
            <b/>
            <sz val="9"/>
            <color indexed="81"/>
            <rFont val="Tahoma"/>
            <family val="2"/>
          </rPr>
          <t>p 35-36
Cambios en la cobertura de bosques en el país en 1990, 2000,
2005 y 2010 (Tomado de Cabrera, E. et al. 2011)
Entre 1987 y 2007 14% de las Sabanas de los Llanos Orientales tuvieron
algún cambio en el uso del territorio y de su cobertura natural, siendo la transición
predominante de Sabanas de inundación a áreas cultivadas y pastos
exóticos (Romero, M. et al., 2011).</t>
        </r>
      </text>
    </comment>
    <comment ref="AO44" authorId="0">
      <text>
        <r>
          <rPr>
            <b/>
            <sz val="9"/>
            <color indexed="81"/>
            <rFont val="Tahoma"/>
            <family val="2"/>
          </rPr>
          <t>3 soil degradation</t>
        </r>
      </text>
    </comment>
    <comment ref="AV44" authorId="0">
      <text>
        <r>
          <rPr>
            <b/>
            <sz val="9"/>
            <color indexed="81"/>
            <rFont val="Tahoma"/>
            <family val="2"/>
          </rPr>
          <t>La degradación física causada por la erosión por agua se presenta en el 35%
del país con más de 4.300.000 hectáreas erosionadas en forma severa y muy
severa, y 12.916.000 ha en grado moderado. Este fenómeno es importante
en la costa Caribe, Andes, Orinoquia y en algunos sitios del Chocó biogeográfico,
mientras que por el viento se presenta en zonas áridas como la Guajira e
imperceptible en los enclaves secos o zonas de sombra de lluvias en vertientes
de los Andes y en la Orinoquia (informe del Convenio 125 MADS-UNC)35.
La susceptibilidad a la degradación por salinización y sodización se presenta
en el 5% de los suelos y tierras del área continental (58.563 km2).</t>
        </r>
      </text>
    </comment>
    <comment ref="BA44" authorId="0">
      <text>
        <r>
          <rPr>
            <sz val="9"/>
            <color indexed="81"/>
            <rFont val="Tahoma"/>
            <family val="2"/>
          </rPr>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r>
      </text>
    </comment>
    <comment ref="BF44" authorId="0">
      <text>
        <r>
          <rPr>
            <b/>
            <sz val="9"/>
            <color indexed="81"/>
            <rFont val="Tahoma"/>
            <family val="2"/>
          </rPr>
          <t>La investigación sobre reducción de la deforestación49 en Colombia realizada por el
IDEAM, permite establecer que si bien hubo incremento en el promedio anual de la pérdida
de bosques en el país entre los períodos 1990-2000 y 2000 – 2005, también hubo
disminución en el periodo 2005-201050. No obstante esa disminución de la deforestación
reportada por el IDEAM, los ecosistemas han sido llevados a estados de degradación que
hacen necesarios esfuerzos, y el compromiso nacional, para evitar su desaparición. Tal es
el caso de los ecosistemas en la ecoregión Andina y del bosque seco tropical.
Otros ejemplos de ecosistemas con riesgos a futuro son las Sabanas de la Orinoquía,
humedales altoandinos (ver sección 1.3), corales (ver Meta 10 de Aichi) y páramos. Los
esfuerzos nacionales para salvaguardar y detener la pérdida y transformación de estos
ecosistemas incluyen: Estrategia REDD + que se enmarca en la Política Nacional frente
al Cambio Climático y la Política Nacional Forestal; Atlas de Páramos de Colombia; el
proyecto “Uso sostenible y conservación de la biodiversidad en ecosistemas secos para
garantizar el flujo de los servicios ecosistémicos y mitigar procesos de deforestación y
desertificación”, entre otros.</t>
        </r>
      </text>
    </comment>
    <comment ref="BI44" authorId="0">
      <text>
        <r>
          <rPr>
            <sz val="9"/>
            <color indexed="81"/>
            <rFont val="Tahoma"/>
            <family val="2"/>
          </rPr>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r>
      </text>
    </comment>
    <comment ref="BT44" authorId="0">
      <text>
        <r>
          <rPr>
            <b/>
            <sz val="9"/>
            <color indexed="81"/>
            <rFont val="Tahoma"/>
            <family val="2"/>
          </rPr>
          <t>Actualmente el país cuenta con el Plan Nacional de Restauración que incluye los impulsores
o motores de pérdida y transformación sugeridos por la Evaluación de Ecosistemas
del Milenio y reúne tres enfoques de implementación: la restauración ecológica, la rehabilitación
y la recuperación. El área en proceso de restauración para el período 2010 - 2014 es
de 68.597 ha lo que equivale al 15% de la meta planeada. De acuerdo al mapa de restauración
(1:100.000), hay una prioridad alta de restauración en 3.700.000 ha y muy alta en
1.158.000 ha. Así mismo se ha adoptado la Estrategia Nacional de Compensaciones por
Pérdida de Biodiversidad que direcciona dichas compensaciones hacia la restauración, el
fortalecimiento de áreas protegidas y el pago por servicios ambientales.</t>
        </r>
      </text>
    </comment>
    <comment ref="BX44" authorId="0">
      <text>
        <r>
          <rPr>
            <b/>
            <sz val="9"/>
            <color indexed="81"/>
            <rFont val="Tahoma"/>
            <family val="2"/>
          </rPr>
          <t>Motores de perdida p9
focos de deforestacion
p43</t>
        </r>
      </text>
    </comment>
    <comment ref="CC44" authorId="0">
      <text>
        <r>
          <rPr>
            <sz val="9"/>
            <color indexed="81"/>
            <rFont val="Tahoma"/>
            <family val="2"/>
          </rPr>
          <t xml:space="preserve">5NR- p. 125 - La investigación sobre reducción de la deforestación49 en Colombia realizada por el IDEAM, permite establecer que si bien hubo incremento en el promedio anual de la pérdida de bosques en el país entre los períodos 1990-2000 y 2000 – 2005, también hubo disminución en el periodo 2005-201050. No obstante esa disminución de la deforestación reportada por el IDEAM, los ecosistemas han sido llevados a estados de degradación que
hacen necesarios esfuerzos, y el compromiso nacional, para evitar su desaparición. Tal es el caso de los ecosistemas en la ecoregión Andina y del bosque seco tropical.
Otros ejemplos de ecosistemas con riesgos a futuro son las Sabanas de la Orinoquía, humedales altoandinos, corales (ver Meta 10 de Aichi) y páramos. Los esfuerzos nacionales para salvaguardar y detener la pérdida y transformación de estos ecosistemas incluyen: Estrategia REDD + que se enmarca en la Política Nacional frente
al Cambio Climático y la Política Nacional Forestal; Atlas de Páramos de Colombia; el proyecto “Uso sostenible y conservación de la biodiversidad en ecosistemas secos para garantizar el flujo de los servicios ecosistémicos y mitigar procesos de deforestación y desertificación”, entre otros. </t>
        </r>
      </text>
    </comment>
    <comment ref="CP44" authorId="0">
      <text>
        <r>
          <rPr>
            <b/>
            <sz val="9"/>
            <color indexed="81"/>
            <rFont val="Tahoma"/>
            <family val="2"/>
          </rPr>
          <t>p51</t>
        </r>
      </text>
    </comment>
    <comment ref="CQ44" authorId="0">
      <text>
        <r>
          <rPr>
            <b/>
            <sz val="9"/>
            <color indexed="81"/>
            <rFont val="Tahoma"/>
            <family val="2"/>
          </rPr>
          <t>p51</t>
        </r>
      </text>
    </comment>
    <comment ref="CV44" authorId="0">
      <text>
        <r>
          <rPr>
            <b/>
            <sz val="9"/>
            <color indexed="81"/>
            <rFont val="Tahoma"/>
            <family val="2"/>
          </rPr>
          <t xml:space="preserve">p51
</t>
        </r>
      </text>
    </comment>
    <comment ref="ER44"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 xml:space="preserve">Singapore’s NBSAP is currently undergoing review and national targets are being developed, possibly to be completed before the end of 2015. In addition, NParks’ Nature Conservation Master Plan is intended to support the implementation of Singapore’s NBSAP.
</t>
        </r>
        <r>
          <rPr>
            <b/>
            <sz val="9"/>
            <color indexed="81"/>
            <rFont val="Tahoma"/>
            <family val="2"/>
          </rPr>
          <t>2009 Strategy 1 - Safeguard Our Biodiversity</t>
        </r>
        <r>
          <rPr>
            <sz val="9"/>
            <color indexed="81"/>
            <rFont val="Tahoma"/>
            <family val="2"/>
          </rPr>
          <t xml:space="preserve">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r>
      </text>
    </comment>
    <comment ref="ET44"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r>
      </text>
    </comment>
    <comment ref="ER45" authorId="1">
      <text>
        <r>
          <rPr>
            <b/>
            <sz val="9"/>
            <color indexed="81"/>
            <rFont val="Tahoma"/>
            <family val="2"/>
          </rPr>
          <t>billy.tsekos:</t>
        </r>
        <r>
          <rPr>
            <sz val="9"/>
            <color indexed="81"/>
            <rFont val="Tahoma"/>
            <family val="2"/>
          </rPr>
          <t xml:space="preserve">
</t>
        </r>
        <r>
          <rPr>
            <b/>
            <sz val="9"/>
            <color indexed="81"/>
            <rFont val="Tahoma"/>
            <family val="2"/>
          </rPr>
          <t xml:space="preserve">NR-P.83: </t>
        </r>
        <r>
          <rPr>
            <sz val="9"/>
            <color indexed="81"/>
            <rFont val="Tahoma"/>
            <family val="2"/>
          </rPr>
          <t xml:space="preserve">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r>
      </text>
    </comment>
    <comment ref="ET45"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r>
      </text>
    </comment>
    <comment ref="BA46" authorId="0">
      <text>
        <r>
          <rPr>
            <sz val="9"/>
            <color indexed="81"/>
            <rFont val="Tahoma"/>
            <family val="2"/>
          </rPr>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r>
      </text>
    </comment>
    <comment ref="EH46" authorId="0">
      <text>
        <r>
          <rPr>
            <sz val="9"/>
            <color indexed="81"/>
            <rFont val="Tahoma"/>
            <family val="2"/>
          </rPr>
          <t xml:space="preserve">Bonn challenge
Commitment= 1 million hectares 
Carbon sequestered= 0.09 GtCO2
Economic benefit= 314 million USD
Endorsement of the New York Declaration on Forests
NAMAs
T5:
• Colombia will reduce deforestation in the Colombian Amazon rainforest to zero by 2020;
• Colombia has great potential to reduce emissions from deforestation (REDD) through the protection of endangered forests and the inclusion of new protected areas in the national parks programme
T15:
• Colombia has estimated a total emissions reduction of up to 54.8 Mt CO2 by 2020 through the implementation of the CDM in the energy, forest, industrial, transport, and waste management sectors. Up to now, eight projects in Colombia have been accredited with 763,371 certified emission reduction (CER) units from activities related to wind power generation, mass transport systems and hydroelectric power generation; 
• Colombia will encourage commercial reforestation through the use of Forest Incentive Certificates;
</t>
        </r>
      </text>
    </comment>
    <comment ref="ER46" authorId="0">
      <text>
        <r>
          <rPr>
            <sz val="9"/>
            <color indexed="81"/>
            <rFont val="Tahoma"/>
            <family val="2"/>
          </rPr>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r>
      </text>
    </comment>
    <comment ref="ET46" authorId="0">
      <text>
        <r>
          <rPr>
            <sz val="9"/>
            <color indexed="81"/>
            <rFont val="Tahoma"/>
            <family val="2"/>
          </rPr>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r>
      </text>
    </comment>
    <comment ref="EU46" authorId="0">
      <text>
        <r>
          <rPr>
            <b/>
            <sz val="9"/>
            <color indexed="81"/>
            <rFont val="Tahoma"/>
            <family val="2"/>
          </rPr>
          <t>Actualmente el país cuenta con el Plan Nacional de Restauración que incluye los impulsores
o motores de pérdida y transformación sugeridos por la Evaluación de Ecosistemas
del Milenio y reúne tres enfoques de implementación: la restauración ecológica, la rehabilitación
y la recuperación. El área en proceso de restauración para el período 2010 - 2014 es
de 68.597 ha lo que equivale al 15% de la meta planeada. De acuerdo al mapa de restauración
(1:100.000), hay una prioridad alta de restauración en 3.700.000 ha y muy alta en
1.158.000 ha. Así mismo se ha adoptado la Estrategia Nacional de Compensaciones por
Pérdida de Biodiversidad que direcciona dichas compensaciones hacia la restauración, el
fortalecimiento de áreas protegidas y el pago por servicios ambientales.</t>
        </r>
      </text>
    </comment>
    <comment ref="EH47" authorId="0">
      <text>
        <r>
          <rPr>
            <sz val="9"/>
            <color indexed="81"/>
            <rFont val="Tahoma"/>
            <family val="2"/>
          </rPr>
          <t>Bonn challenge
Comitment = 1 million hectares 
Carbon sequestered= 0.09 GtCO2
economic benefit = 314 million USD
• P. 132 - The Atlantic Forest Restoration Pact. The program has more than 260 members and has a mission to restore 15 million hectares of the forest by 2050.
NAMAs
T5: A reduction in deforestation in the Amazon (range of estimated reduction: 564Mt carbon dioxide equivalent (CO2 eq) in 2020); a reduction in ‘cerrado’ deforestation (range of estimated reduction: 104 MtCO2 eq in 2020); replacing coal from deforestation with coal from planted forests (range of estimated reduction: 8 to 10 Mt CO2 eq in 2020).
T15: restoration of grazing land (range of estimated reduction: 83 to 104 Mt CO2 eq in 2020).</t>
        </r>
      </text>
    </comment>
    <comment ref="ER47" authorId="0">
      <text>
        <r>
          <rPr>
            <sz val="9"/>
            <color indexed="81"/>
            <rFont val="Tahoma"/>
            <family val="2"/>
          </rPr>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r>
      </text>
    </comment>
    <comment ref="ET47" authorId="0">
      <text>
        <r>
          <rPr>
            <sz val="9"/>
            <color indexed="81"/>
            <rFont val="Tahoma"/>
            <family val="2"/>
          </rPr>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r>
      </text>
    </comment>
    <comment ref="EU47" authorId="0">
      <text>
        <r>
          <rPr>
            <b/>
            <sz val="9"/>
            <color indexed="81"/>
            <rFont val="Tahoma"/>
            <family val="2"/>
          </rPr>
          <t>Pact for the Restoration of the Atlantic Forest146
Launched in 2009, the Pact is a collective effort for the large scale restoration of the
Atlantic Forest, involving the participation of non-governmental organizations,
governmental agencies at the three administrative levels, rural land owners, traditional
communities, cooperatives and associations. The target established for the Pact is to
restore 15 million hectares of forest by 2050, increasing the vegetation cover of the
Atlantic Forest to over 30% of the original biome. This would also result in the removal
of approximately 200 million tons of atmospheric CO2 per year, storing over 2 billion
tons of CO2 by 2050. Along the first three years of implementation, the partner
organizations produced technical documents to guide actions under the Pact: the
Reference Document on Forest Restoration Concepts and Actions, and the Map of
Potential Areas for Restoration, which mapped 17 million hectares of areas to be
restored. In March 2014 the Monitoring Protocol for Programs and Projects on Forest
Restoration147 was published as one more tool for implementation of the Pact.</t>
        </r>
      </text>
    </comment>
    <comment ref="Z48" authorId="0">
      <text>
        <r>
          <rPr>
            <b/>
            <sz val="9"/>
            <color indexed="81"/>
            <rFont val="Tahoma"/>
            <family val="2"/>
          </rPr>
          <t xml:space="preserve">
Bosque 2013 / 2677304 ha / 52.4% (SINAC 2014)
1992 - 2 525 780 ha
2000 - 2 363 310 ha
2005 - 2 487 240 ha
2013 - 2 677 304 ha
Los humedales comprenden 26% de territorio nacional (incluyendo 17% territorio marítimo) </t>
        </r>
        <r>
          <rPr>
            <sz val="9"/>
            <color indexed="81"/>
            <rFont val="Tahoma"/>
            <family val="2"/>
          </rPr>
          <t>(Proyecto
Humedales (SINAC, PNUD, GEF), 2012*). Según el Decimoctavo Informe sobre el Estado de la Nación (Programa
Estado de la Nación, 2012) una de las debilidades que muestra el país en materia de conservación se refiere a
humedales, a pesar del compromiso internacional adquirido para la protección de 12 sitios Ramsar existentes
en el país (que comprenden 569.742 hectáreas). Se han detectado daños recurrentes que ponen en peligro la
integridad y permanencia en el largo plazo los humedales</t>
        </r>
      </text>
    </comment>
    <comment ref="AH48" authorId="0">
      <text>
        <r>
          <rPr>
            <b/>
            <sz val="9"/>
            <color indexed="81"/>
            <rFont val="Tahoma"/>
            <family val="2"/>
          </rPr>
          <t>Blaise Bodin:</t>
        </r>
        <r>
          <rPr>
            <sz val="9"/>
            <color indexed="81"/>
            <rFont val="Tahoma"/>
            <family val="2"/>
          </rPr>
          <t xml:space="preserve">
Table on page 36 presents changes in areas in different forest types, other natural ecosystems and land under production, for 1992, 2000, 2005 and 2013
</t>
        </r>
      </text>
    </comment>
    <comment ref="BA48" authorId="0">
      <text>
        <r>
          <rPr>
            <b/>
            <sz val="9"/>
            <color indexed="81"/>
            <rFont val="Tahoma"/>
            <family val="2"/>
          </rPr>
          <t>p 187</t>
        </r>
        <r>
          <rPr>
            <sz val="9"/>
            <color indexed="81"/>
            <rFont val="Tahoma"/>
            <family val="2"/>
          </rPr>
          <t xml:space="preserve">
Para 2020, se conocerá la línea base de la pérdida de hábitats
naturales priorizados en el territorio marino-costero y
continental.
</t>
        </r>
        <r>
          <rPr>
            <b/>
            <sz val="9"/>
            <color indexed="81"/>
            <rFont val="Tahoma"/>
            <family val="2"/>
          </rPr>
          <t>Prioridade media</t>
        </r>
      </text>
    </comment>
    <comment ref="BD48" authorId="0">
      <text>
        <r>
          <rPr>
            <b/>
            <sz val="9"/>
            <color indexed="81"/>
            <rFont val="Tahoma"/>
            <family val="2"/>
          </rPr>
          <t>Blaise Bodin:</t>
        </r>
        <r>
          <rPr>
            <sz val="9"/>
            <color indexed="81"/>
            <rFont val="Tahoma"/>
            <family val="2"/>
          </rPr>
          <t xml:space="preserve">
2020 (knowing baseline rate)</t>
        </r>
      </text>
    </comment>
    <comment ref="BE48" authorId="0">
      <text>
        <r>
          <rPr>
            <b/>
            <sz val="9"/>
            <color indexed="81"/>
            <rFont val="Tahoma"/>
            <family val="2"/>
          </rPr>
          <t>No baseline period specified</t>
        </r>
      </text>
    </comment>
    <comment ref="BI48" authorId="0">
      <text>
        <r>
          <rPr>
            <b/>
            <sz val="9"/>
            <color indexed="81"/>
            <rFont val="Tahoma"/>
            <family val="2"/>
          </rPr>
          <t>p 189</t>
        </r>
        <r>
          <rPr>
            <sz val="9"/>
            <color indexed="81"/>
            <rFont val="Tahoma"/>
            <family val="2"/>
          </rPr>
          <t xml:space="preserve">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r>
        <r>
          <rPr>
            <b/>
            <sz val="9"/>
            <color indexed="81"/>
            <rFont val="Tahoma"/>
            <family val="2"/>
          </rPr>
          <t>prioridade media</t>
        </r>
      </text>
    </comment>
    <comment ref="BL48" authorId="0">
      <text>
        <r>
          <rPr>
            <b/>
            <sz val="9"/>
            <color indexed="81"/>
            <rFont val="Tahoma"/>
            <family val="2"/>
          </rPr>
          <t xml:space="preserve">b) Internalización de costos de servicios ambientales e incentivos para el uso sostenible de la biodiversidad
</t>
        </r>
        <r>
          <rPr>
            <sz val="9"/>
            <color indexed="81"/>
            <rFont val="Tahoma"/>
            <family val="2"/>
          </rPr>
          <t>Costa Rica reconoce y ha desarrollado mecanismos concretos para favorecer e incentivar los siguientes tipos de
servicios ambientales65:
1) Mitigación de emisiones de gases efecto invernadero (reducción, absorción, fijación y almacenamiento de carbono).
2) Protección de agua para uso urbano rural o hidroeléctrico.
3) Protección de la biodiversidad para conservación (uso sostenible científico, farmacéutico, investigación,
mejoramiento genético, protección de ecosistemas y formas de vida).
4) Belleza escénica.
El país ha realizado una tarea destacada en cuantificar, incentivar y promover el Pago por Servicios Ambientales
(PSA) como mecanismo para favorecer la sostenibilidad de los mismos. Parte de su identidad se vincula con la
conservación y reforestación, que las diferentes políticas, leyes e instituciones se han encargado de visibilizar y
hacer realidad. Existen estudios econométricos que evidencian que la deforestación se ha visto reducida por la
penetración del PSA (IICA, 2010), cuyo aporte se debe analizar dentro de un contexto de orientación de política
para favorecer la reforestación y prevenir mayor deforestación que partió desde los años 70 aproximadamente y
se concretó bajo la normativa en un marco legal que prohíbe el cambio de uso de suelos (por la Ley Forestal).</t>
        </r>
      </text>
    </comment>
    <comment ref="BP48" authorId="0">
      <text>
        <r>
          <rPr>
            <b/>
            <sz val="9"/>
            <color indexed="81"/>
            <rFont val="Tahoma"/>
            <family val="2"/>
          </rPr>
          <t>Blaise Bodin:</t>
        </r>
        <r>
          <rPr>
            <sz val="9"/>
            <color indexed="81"/>
            <rFont val="Tahoma"/>
            <family val="2"/>
          </rPr>
          <t xml:space="preserve">
Objective for the country to become carbon neutral by 2012</t>
        </r>
      </text>
    </comment>
    <comment ref="BX48" authorId="0">
      <text>
        <r>
          <rPr>
            <b/>
            <sz val="9"/>
            <color indexed="81"/>
            <rFont val="Tahoma"/>
            <family val="2"/>
          </rPr>
          <t xml:space="preserve">Map of forest fires 
</t>
        </r>
        <r>
          <rPr>
            <sz val="9"/>
            <color indexed="81"/>
            <rFont val="Tahoma"/>
            <family val="2"/>
          </rPr>
          <t xml:space="preserve">
En el estudio sobre Ecorregiones y Ecosistemas (Fallas, 2011) se identifican las siguientes amenazas que afrontan
los ecosistemas y por ende los servicios que ofrecen. Según este estudio las principales amenazas incluyen: tala
ilegal, variabilidad y cambio climático (y factores relacionados sequías- inundaciones-incendios), erosión,
deslizamientos y drenado (humedales).</t>
        </r>
      </text>
    </comment>
    <comment ref="CC48" authorId="0">
      <text>
        <r>
          <rPr>
            <b/>
            <sz val="9"/>
            <color indexed="81"/>
            <rFont val="Tahoma"/>
            <family val="2"/>
          </rPr>
          <t>BOSQUES</t>
        </r>
        <r>
          <rPr>
            <sz val="9"/>
            <color indexed="81"/>
            <rFont val="Tahoma"/>
            <family val="2"/>
          </rPr>
          <t xml:space="preserve">
Dichos factores incluyen:
a) En áreas con bosque, la Ley Forestal prohíbe el cambio de uso del suelo y solo en casos específicos autoriza
aprovechar no más del 10% del área boscosa del inmueble (incluyendo caminos, senderos, miradores,
edificaciones y similares).
b) Coincidente reducción de demanda sobre la principal presión para la conversión de suelo en los años 70´s
(caída de mercado de carne-ganado) que permitió la reconversión de potreros en plantaciones forestales y
algunos bosques secundarios en particular en el norte del País.
c) Desde los 80 se ha mantenido un sistema de incentivos e instrumentos financieros, que incluyen:
· Certificado de Abono Forestal (CAF), posteriormente Certificado de Abono Forestal para el Manejo
del Bosque (CAFMA) y luego el Pago de Servicios Ambientales (PSA) que sustituye los incentivos
anteriores.
· Deducción de impuestos a propietarios de bosque.
· El cobro del impuesto al uso de hidrocarburos.
· El canje de deuda por conservación.
· La creación de mercados de fijación de carbono.
· Certificación de Servicios Ambientales (CSA).
d) Consolidación y profesionalización de la institucionalidad relacionada con las Áreas de Conservación
(SINAC), como también del Sector Forestal (FONAFIFO) e instituciones como la Oficina Nacional Forestal
(ONF)(ente privado de interés público creado por la Ley Forestal).
e) Compra de tierras del Estado para su declaratoria como Área Silvestre Protegida -ASP-.
f) Participación del sector privado, académico y sociedad civil organizada en proyectos, programas
respaldados de cooperación internacional.
g) Gestión de la Información. Sistemas de Información (SIREFOR), Reportes Estadísticos Forestales, Censo de la
Industria, Estado de recursos fitogenéticos forestales y el reciente Inventario Nacional, y
h) Actualmente valoración del servicio ecosistémico y su vinculación a iniciativas nacionales ej. Mercado
doméstico de carbono, internacionales ej. REDD+.
</t>
        </r>
        <r>
          <rPr>
            <b/>
            <sz val="9"/>
            <color indexed="81"/>
            <rFont val="Tahoma"/>
            <family val="2"/>
          </rPr>
          <t>humedales</t>
        </r>
        <r>
          <rPr>
            <sz val="9"/>
            <color indexed="81"/>
            <rFont val="Tahoma"/>
            <family val="2"/>
          </rPr>
          <t xml:space="preserve">
En el caso de la diversidad biológica de tierras áridas y subhúmedas el país ha avanzado en dicha temática bajo
acciones de restauración en el territorio, principalmente bajo procesos de sucesión natural en particular en el
área de Guanacaste en procesos relacionados al tema forestal (abandono de tierras para ganado), bajo gestión
control y vigilancia de las ASP del área y mediante control de amenazas como el Programa de Manejo del Fuego.
Un ejemplo y sinergia de implementación entre los tres Convenios de Rio es el Proyecto piloto para implementar
la primera fase del Plan de acción Nacional de lucha contra la degradación de tierras en Costa Rica (PANCUENCA),
promovido por la Comisión Asesora sobre Degradación de tierras –CADETI- (creada mediante decreto
ejecutivo N°. 29279-MINAE-MAG el 11 de setiembre de 1998 a partir de 1999). En coordinación con CADETI,
desde el año 2013, el PPD ha venido implementando proyectos comunales en la cuenca del Jesús María,
catalogada como la más deteriorada del país, en el marco de una estrategia regional para el manejo de esta
cuenca. Son proyectos pequeños y diversos que se relacionan específicamente con técnicas de manejo de
suelos en sistemas productivos, capacidades locales, recurso hídrico con ASADAS, educación ambiental,
restauración boscosa, protección de nacientes y ríos, entre otros.</t>
        </r>
      </text>
    </comment>
    <comment ref="CV48" authorId="0">
      <text>
        <r>
          <rPr>
            <b/>
            <sz val="9"/>
            <color indexed="81"/>
            <rFont val="Tahoma"/>
            <family val="2"/>
          </rPr>
          <t>En cuanto al logro de sinergias a nivel nacional en la aplicación del Convenio sobre la Diversidad Biológica, la
Convención Marco de las Naciones Unidas sobre el Cambio Climático (CMNUCC), la Convención de las Naciones
Unidas de Lucha contra la Desertificación (CNULD) se debe resaltar que el seguimiento a cada tema es complejo
y guarda sus propias dinámicas. En este quehacer, es muy fácil que cada institución se enfoque en la
implementación de su propio instrumento de implementación y que de manera indirecta contribuya a la
implementación de otros convenios por la afinidad temática y de abordaje intrínseca de los AMUMAs.</t>
        </r>
      </text>
    </comment>
    <comment ref="DA48" authorId="5">
      <text>
        <r>
          <rPr>
            <sz val="11"/>
            <color theme="1"/>
            <rFont val="Calibri"/>
            <family val="2"/>
            <scheme val="minor"/>
          </rPr>
          <t>p. 2</t>
        </r>
      </text>
    </comment>
    <comment ref="DB48" authorId="5">
      <text>
        <r>
          <rPr>
            <sz val="11"/>
            <color theme="1"/>
            <rFont val="Calibri"/>
            <family val="2"/>
            <scheme val="minor"/>
          </rPr>
          <t>p. 2</t>
        </r>
      </text>
    </comment>
    <comment ref="DZ48" authorId="4">
      <text>
        <r>
          <rPr>
            <sz val="10"/>
            <color rgb="FF000000"/>
            <rFont val="Arial"/>
          </rPr>
          <t>Responder updated this value.</t>
        </r>
      </text>
    </comment>
    <comment ref="EH48" authorId="0">
      <text>
        <r>
          <rPr>
            <sz val="9"/>
            <color indexed="81"/>
            <rFont val="Tahoma"/>
            <family val="2"/>
          </rPr>
          <t>Bonn challenge
Commitment = 1 million hectares 
Carbon sequestered = 0.09 GtCO2
Economic benefit = 314 million USD
Endorsement of the New York Declaration on Forests</t>
        </r>
      </text>
    </comment>
    <comment ref="ER48" authorId="0">
      <text>
        <r>
          <rPr>
            <b/>
            <sz val="9"/>
            <color indexed="81"/>
            <rFont val="Tahoma"/>
            <family val="2"/>
          </rPr>
          <t>p 187</t>
        </r>
        <r>
          <rPr>
            <sz val="9"/>
            <color indexed="81"/>
            <rFont val="Tahoma"/>
            <family val="2"/>
          </rPr>
          <t xml:space="preserve">
Para 2020, se conocerá la línea base de la pérdida de hábitats
naturales priorizados en el territorio marino-costero y
continental.
</t>
        </r>
        <r>
          <rPr>
            <b/>
            <sz val="9"/>
            <color indexed="81"/>
            <rFont val="Tahoma"/>
            <family val="2"/>
          </rPr>
          <t>Prioridade media</t>
        </r>
      </text>
    </comment>
    <comment ref="ET48" authorId="0">
      <text>
        <r>
          <rPr>
            <b/>
            <sz val="9"/>
            <color indexed="81"/>
            <rFont val="Tahoma"/>
            <family val="2"/>
          </rPr>
          <t>p 189</t>
        </r>
        <r>
          <rPr>
            <sz val="9"/>
            <color indexed="81"/>
            <rFont val="Tahoma"/>
            <family val="2"/>
          </rPr>
          <t xml:space="preserve">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r>
        <r>
          <rPr>
            <b/>
            <sz val="9"/>
            <color indexed="81"/>
            <rFont val="Tahoma"/>
            <family val="2"/>
          </rPr>
          <t>prioridade media</t>
        </r>
      </text>
    </comment>
    <comment ref="H49" authorId="2">
      <text>
        <r>
          <rPr>
            <b/>
            <sz val="9"/>
            <color indexed="81"/>
            <rFont val="Calibri"/>
            <family val="2"/>
          </rPr>
          <t>Billy Tsekos:</t>
        </r>
        <r>
          <rPr>
            <sz val="9"/>
            <color indexed="81"/>
            <rFont val="Calibri"/>
            <family val="2"/>
          </rPr>
          <t xml:space="preserve">
2016</t>
        </r>
      </text>
    </comment>
    <comment ref="Z49" authorId="2">
      <text>
        <r>
          <rPr>
            <b/>
            <sz val="9"/>
            <color indexed="81"/>
            <rFont val="Tahoma"/>
            <family val="2"/>
          </rPr>
          <t>Billy Tsekos:</t>
        </r>
        <r>
          <rPr>
            <sz val="9"/>
            <color indexed="81"/>
            <rFont val="Tahoma"/>
            <family val="2"/>
          </rPr>
          <t xml:space="preserve">
</t>
        </r>
        <r>
          <rPr>
            <b/>
            <sz val="9"/>
            <color indexed="81"/>
            <rFont val="Tahoma"/>
            <family val="2"/>
          </rPr>
          <t>NR-P.42:</t>
        </r>
        <r>
          <rPr>
            <sz val="9"/>
            <color indexed="81"/>
            <rFont val="Tahoma"/>
            <family val="2"/>
          </rPr>
          <t xml:space="preserve"> Ainsi, le choix de développer une agriculture pérenne extensive a conduit à la destruction des massifs forestiers, les réduisant de 16 millions à 2.5 millions d’hectares en deux décennies.
</t>
        </r>
        <r>
          <rPr>
            <b/>
            <sz val="9"/>
            <color indexed="81"/>
            <rFont val="Tahoma"/>
            <family val="2"/>
          </rPr>
          <t xml:space="preserve">NR-P.76: </t>
        </r>
        <r>
          <rPr>
            <sz val="9"/>
            <color indexed="81"/>
            <rFont val="Tahoma"/>
            <family val="2"/>
          </rPr>
          <t>En l’espace d’un siècle (1900-2000), la couverture forestière est passée de 16 millions d’hectares à 7,117 millions hectares (forêts classées, plantations forestières, parcs nationaux et réserves naturelles confondues dont 2,5 millions hectares de forêt dense humide), source « Forêts du Monde/FAO, 2000 ».</t>
        </r>
      </text>
    </comment>
    <comment ref="AH49" authorId="2">
      <text>
        <r>
          <rPr>
            <b/>
            <sz val="9"/>
            <color indexed="81"/>
            <rFont val="Tahoma"/>
            <family val="2"/>
          </rPr>
          <t>Billy Tsekos:</t>
        </r>
        <r>
          <rPr>
            <sz val="9"/>
            <color indexed="81"/>
            <rFont val="Tahoma"/>
            <family val="2"/>
          </rPr>
          <t xml:space="preserve">
</t>
        </r>
        <r>
          <rPr>
            <b/>
            <sz val="9"/>
            <color indexed="81"/>
            <rFont val="Tahoma"/>
            <family val="2"/>
          </rPr>
          <t>NBSAP- P.71:</t>
        </r>
        <r>
          <rPr>
            <sz val="9"/>
            <color indexed="81"/>
            <rFont val="Tahoma"/>
            <family val="2"/>
          </rPr>
          <t xml:space="preserve"> Avant 1960, la forêt ivoirienne s’étendait sur tout le sud, l’ouest et la partie médiane de la Côte d’Ivoire. Le taux d’occupation se chiffrait à 46 % du territoire (12 millions d’hectares, 148 350 km2 ), avec un taux de boisement de 37,6 %. Au cours des années subséquentes, l’exploitation forestière à des fins de production de bois d’œuvre, la coupe intensive pour le bois de chauffe et la fabrication de charbon de bois, et le défrichement pour la mise en culture des terres ont eu pour conséquence de causer la disparition de 3/4 de la couverture forestière du pays.</t>
        </r>
      </text>
    </comment>
    <comment ref="AO49" authorId="2">
      <text>
        <r>
          <rPr>
            <b/>
            <sz val="9"/>
            <color indexed="81"/>
            <rFont val="Tahoma"/>
            <family val="2"/>
          </rPr>
          <t xml:space="preserve">NBSAP- P.39: </t>
        </r>
        <r>
          <rPr>
            <sz val="9"/>
            <color indexed="81"/>
            <rFont val="Tahoma"/>
            <family val="2"/>
          </rPr>
          <t xml:space="preserve">Selon le plan de reboisement 2015-2025 de la SODEFOR, sur les 2 500 000hectares de forêts classées de la zone forestière (sud), environ 1200 000 hectares (soit 40-50% sont dégradés et se présentent sous forme de cultures, de jachères, et de mosaïques culture-forêt.
</t>
        </r>
      </text>
    </comment>
    <comment ref="AV49" authorId="2">
      <text>
        <r>
          <rPr>
            <b/>
            <sz val="9"/>
            <color indexed="81"/>
            <rFont val="Tahoma"/>
            <family val="2"/>
          </rPr>
          <t>Billy Tsekos:</t>
        </r>
        <r>
          <rPr>
            <sz val="9"/>
            <color indexed="81"/>
            <rFont val="Tahoma"/>
            <family val="2"/>
          </rPr>
          <t xml:space="preserve">
</t>
        </r>
        <r>
          <rPr>
            <b/>
            <sz val="9"/>
            <color indexed="81"/>
            <rFont val="Tahoma"/>
            <family val="2"/>
          </rPr>
          <t xml:space="preserve">NBSAP- P.60: </t>
        </r>
        <r>
          <rPr>
            <sz val="9"/>
            <color indexed="81"/>
            <rFont val="Tahoma"/>
            <family val="2"/>
          </rPr>
          <t>Aujourd’hui, les zones de conservation de la diversité spécifique sont principalement les forêts classées, les parcs nationaux et les réserves.</t>
        </r>
        <r>
          <rPr>
            <b/>
            <sz val="9"/>
            <color indexed="81"/>
            <rFont val="Tahoma"/>
            <family val="2"/>
          </rPr>
          <t xml:space="preserve"> Le taux de dégradation de ces zones, plus important en forêt classée, est souvent supérieur à 25 %.</t>
        </r>
        <r>
          <rPr>
            <sz val="9"/>
            <color indexed="81"/>
            <rFont val="Tahoma"/>
            <family val="2"/>
          </rPr>
          <t xml:space="preserve"> Dans ces forêts, si des études scientifiques étaient réalisées au niveau génétique des espèces, l’on pourrait effectivement détecter certaines variations génotypiques. Alors que l’on ignore presque tout de la diversité génétique, plusieurs espèces de plantes ou d’animaux possédant de grandes valeurs économiques qui semblent justifier leur surexploitation sont devenues rares ou en voie de disparition. L’inventaire des ressources génétiques est un défi à relever.</t>
        </r>
      </text>
    </comment>
    <comment ref="BA49" authorId="2">
      <text>
        <r>
          <rPr>
            <b/>
            <sz val="9"/>
            <color indexed="81"/>
            <rFont val="Tahoma"/>
            <family val="2"/>
          </rPr>
          <t xml:space="preserve">Billy Tsekos:
NBSAP-P.52:
</t>
        </r>
        <r>
          <rPr>
            <sz val="9"/>
            <color indexed="81"/>
            <rFont val="Tahoma"/>
            <family val="2"/>
          </rPr>
          <t xml:space="preserve">
</t>
        </r>
        <r>
          <rPr>
            <b/>
            <sz val="9"/>
            <color indexed="81"/>
            <rFont val="Tahoma"/>
            <family val="2"/>
          </rPr>
          <t>Objectif 1:</t>
        </r>
        <r>
          <rPr>
            <sz val="9"/>
            <color indexed="81"/>
            <rFont val="Tahoma"/>
            <family val="2"/>
          </rPr>
          <t xml:space="preserve"> D’ici à 2020, 50 % des écosystèmes et habitats dans l’espace rural sont protégés afin d’assurer la conservation de la diversité biologique.
</t>
        </r>
        <r>
          <rPr>
            <b/>
            <sz val="9"/>
            <color indexed="81"/>
            <rFont val="Tahoma"/>
            <family val="2"/>
          </rPr>
          <t>Objectif 11:</t>
        </r>
        <r>
          <rPr>
            <sz val="9"/>
            <color indexed="81"/>
            <rFont val="Tahoma"/>
            <family val="2"/>
          </rPr>
          <t xml:space="preserve"> D’ici à 2020, l’exploitation des forêts est compatible avec les objectifs nationaux de sauvegarde de la diversité biologique.
</t>
        </r>
        <r>
          <rPr>
            <b/>
            <sz val="9"/>
            <color indexed="81"/>
            <rFont val="Tahoma"/>
            <family val="2"/>
          </rPr>
          <t xml:space="preserve"> Objectif 13:</t>
        </r>
        <r>
          <rPr>
            <sz val="9"/>
            <color indexed="81"/>
            <rFont val="Tahoma"/>
            <family val="2"/>
          </rPr>
          <t xml:space="preserve"> D’ici à 2020, le développement de l’exploitation des mines et du pétrole n’entrave pas l’atteinte des objectifs de sauvegarde de la diversité biologique.</t>
        </r>
      </text>
    </comment>
    <comment ref="BC49" authorId="3">
      <text>
        <r>
          <rPr>
            <b/>
            <sz val="10"/>
            <color indexed="81"/>
            <rFont val="Calibri"/>
          </rPr>
          <t>50%</t>
        </r>
        <r>
          <rPr>
            <sz val="10"/>
            <color indexed="81"/>
            <rFont val="Calibri"/>
          </rPr>
          <t xml:space="preserve">
</t>
        </r>
      </text>
    </comment>
    <comment ref="BD49" authorId="2">
      <text>
        <r>
          <rPr>
            <b/>
            <sz val="9"/>
            <color indexed="81"/>
            <rFont val="Tahoma"/>
            <family val="2"/>
          </rPr>
          <t>Billy Tsekos:</t>
        </r>
        <r>
          <rPr>
            <sz val="9"/>
            <color indexed="81"/>
            <rFont val="Tahoma"/>
            <family val="2"/>
          </rPr>
          <t xml:space="preserve">
2020</t>
        </r>
      </text>
    </comment>
    <comment ref="BI49" authorId="2">
      <text>
        <r>
          <rPr>
            <b/>
            <sz val="9"/>
            <color indexed="81"/>
            <rFont val="Tahoma"/>
            <family val="2"/>
          </rPr>
          <t xml:space="preserve">Billy Tsekos:
NBSAP-P.52:
</t>
        </r>
        <r>
          <rPr>
            <sz val="9"/>
            <color indexed="81"/>
            <rFont val="Tahoma"/>
            <family val="2"/>
          </rPr>
          <t xml:space="preserve">
</t>
        </r>
        <r>
          <rPr>
            <b/>
            <sz val="9"/>
            <color indexed="81"/>
            <rFont val="Tahoma"/>
            <family val="2"/>
          </rPr>
          <t>Objectif 3 :</t>
        </r>
        <r>
          <rPr>
            <sz val="9"/>
            <color indexed="81"/>
            <rFont val="Tahoma"/>
            <family val="2"/>
          </rPr>
          <t xml:space="preserve"> D’ici à 2020 au plus tard, les écosystèmes et habitats prioritaires, sont restaurés et préservés.</t>
        </r>
      </text>
    </comment>
    <comment ref="BP49" authorId="2">
      <text>
        <r>
          <rPr>
            <b/>
            <sz val="9"/>
            <color indexed="81"/>
            <rFont val="Tahoma"/>
            <family val="2"/>
          </rPr>
          <t xml:space="preserve">Billy Tsekos:
NR-P.76:  </t>
        </r>
        <r>
          <rPr>
            <sz val="9"/>
            <color indexed="81"/>
            <rFont val="Tahoma"/>
            <family val="2"/>
          </rPr>
          <t>Le Programme National de Reboisement, a donc pour objectif principal, de contribuer à la restauration du couvert forestier national et de gérer les reboisements de manière durable.</t>
        </r>
        <r>
          <rPr>
            <b/>
            <sz val="9"/>
            <color indexed="81"/>
            <rFont val="Tahoma"/>
            <family val="2"/>
          </rPr>
          <t xml:space="preserve">
</t>
        </r>
        <r>
          <rPr>
            <sz val="9"/>
            <color indexed="81"/>
            <rFont val="Tahoma"/>
            <family val="2"/>
          </rPr>
          <t xml:space="preserve">
</t>
        </r>
        <r>
          <rPr>
            <b/>
            <sz val="9"/>
            <color indexed="81"/>
            <rFont val="Tahoma"/>
            <family val="2"/>
          </rPr>
          <t>NBSAP-P.74:</t>
        </r>
        <r>
          <rPr>
            <sz val="9"/>
            <color indexed="81"/>
            <rFont val="Tahoma"/>
            <family val="2"/>
          </rPr>
          <t xml:space="preserve"> La restauration des sites après la fermeture des exploitations minières demeure une préoccupation au regard de ce qu’il a été donné de constater sur le territoire.
En effet, bien que la législation prescrive de restaurer après fermeture des mines et
puits, ceux-ci restent en l’état. Les mesures préconisées sont : 
(i) le renforcement des mesures d’application de la réglementation, 
(ii) la diffusion de lignes directrices en la matière,
(iii) la formation des ressources humaines y compris celles chargées du contrôle
</t>
        </r>
        <r>
          <rPr>
            <b/>
            <sz val="9"/>
            <color indexed="81"/>
            <rFont val="Tahoma"/>
            <family val="2"/>
          </rPr>
          <t>NBSAP-P.76:</t>
        </r>
        <r>
          <rPr>
            <sz val="9"/>
            <color indexed="81"/>
            <rFont val="Tahoma"/>
            <family val="2"/>
          </rPr>
          <t xml:space="preserve"> Les écosystèmes d’intérêt économique sont restaurés
Pour pérenniser les filières qui dépendent des écosystèmes, il faut : (i) identifier les écosystèmes qui génèrent des ressources et des emplois, puis, (ii) les restaurer</t>
        </r>
      </text>
    </comment>
    <comment ref="BT49" authorId="2">
      <text>
        <r>
          <rPr>
            <b/>
            <sz val="9"/>
            <color indexed="81"/>
            <rFont val="Tahoma"/>
            <family val="2"/>
          </rPr>
          <t>Billy Tsekos:
NBSAP- P.39:</t>
        </r>
        <r>
          <rPr>
            <sz val="9"/>
            <color indexed="81"/>
            <rFont val="Tahoma"/>
            <family val="2"/>
          </rPr>
          <t xml:space="preserve"> Selon le plan de reboisement 2015-2025 de la SODEFOR, sur les 2 500 000hectares de forêts classées de la zone forestière (sud), environ 1200 000 hectares (soit 40-50% sont dégradés et se présentent sous forme de cultures, de jachères, et de mosaïques culture-forêt.</t>
        </r>
      </text>
    </comment>
    <comment ref="BX49" authorId="2">
      <text>
        <r>
          <rPr>
            <b/>
            <sz val="9"/>
            <color indexed="81"/>
            <rFont val="Tahoma"/>
            <family val="2"/>
          </rPr>
          <t xml:space="preserve">Billy Tsekos:
NBSAP-P.71: </t>
        </r>
        <r>
          <rPr>
            <sz val="9"/>
            <color indexed="81"/>
            <rFont val="Tahoma"/>
            <family val="2"/>
          </rPr>
          <t xml:space="preserve">Les dommages irréversibles sur les écosystèmes et les espèces qu’ils abritent
sont également issus des différentes utilisations des ressources forestières : exploitation du bois d’œuvre, bois de chauffe et charbon, produits de la pharmacopée traditionnelle, viande de gibier. De plus, plusieurs plantes possèdent une valeur commerciale qui motive leur exploitation incontrôlée : essences forestières commerciales, plantes médicinales, plantes alimentaires de cueillette, plantes ornementales, plantes à divers autres usages traditionnelles. Environ 1500 espèces sont utilisées à des fins médicinales et 800 pour tous les autres usages confondus.
</t>
        </r>
        <r>
          <rPr>
            <b/>
            <sz val="9"/>
            <color indexed="81"/>
            <rFont val="Tahoma"/>
            <family val="2"/>
          </rPr>
          <t xml:space="preserve">NR-P27: </t>
        </r>
        <r>
          <rPr>
            <sz val="9"/>
            <color indexed="81"/>
            <rFont val="Tahoma"/>
            <family val="2"/>
          </rPr>
          <t xml:space="preserve"> Agriculture caractérisée par une faible technicité et liée en grande partie au système de culture itinérante sur brûlis, la croissance de la production agricole traditionnelle s’est poursuivie au prix d’un déboisement particulièrement rapide. 
</t>
        </r>
        <r>
          <rPr>
            <b/>
            <sz val="9"/>
            <color indexed="81"/>
            <rFont val="Tahoma"/>
            <family val="2"/>
          </rPr>
          <t>NR-P31:</t>
        </r>
        <r>
          <rPr>
            <sz val="9"/>
            <color indexed="81"/>
            <rFont val="Tahoma"/>
            <family val="2"/>
          </rPr>
          <t xml:space="preserve"> Ce faisant, la déforestation contribue à la pauvreté des populations et surtout elle est source de nombreux conflits entre les populations.. Le processus est aggravé par la dégradation des sols, consécutive entre autre à la déforestation, aux pratiques culturales. Cette situation conduit les populations à s’attaquer de plus en plus aux forêts vierges et riches pour réaliser l’agriculture.
</t>
        </r>
        <r>
          <rPr>
            <b/>
            <sz val="9"/>
            <color indexed="81"/>
            <rFont val="Tahoma"/>
            <family val="2"/>
          </rPr>
          <t>NR-P72:</t>
        </r>
        <r>
          <rPr>
            <sz val="9"/>
            <color indexed="81"/>
            <rFont val="Tahoma"/>
            <family val="2"/>
          </rPr>
          <t xml:space="preserve"> Il est admis aujourd’hui que les pratiques agricoles figurent au nombre de facteurs induisant l’expansion du déboisement et à la dégradation des terres et donc la perte de la biodiversité
</t>
        </r>
        <r>
          <rPr>
            <b/>
            <sz val="9"/>
            <color indexed="81"/>
            <rFont val="Tahoma"/>
            <family val="2"/>
          </rPr>
          <t xml:space="preserve">NR-P82: </t>
        </r>
        <r>
          <rPr>
            <sz val="9"/>
            <color indexed="81"/>
            <rFont val="Tahoma"/>
            <family val="2"/>
          </rPr>
          <t>La dégradation de l’environnement, déjà peu maîtrisée avant la crise dans certains domaines (pollution d’eau, déchets, déforestation), s’accélère suite à l’absence de mécanismes de contrôle dans plusieurs zones, à l’appauvrissement rapide de la population et à l’exploitation illicite de certaines ressources naturelles</t>
        </r>
      </text>
    </comment>
    <comment ref="CK49"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NBSAP- P.35: </t>
        </r>
        <r>
          <rPr>
            <sz val="9"/>
            <color indexed="81"/>
            <rFont val="Tahoma"/>
            <family val="2"/>
          </rPr>
          <t>Les résultats de l’étude2 indiquent que l’arboretum du CNF est riche de 445 espèces floristiques dont 77 sont à statut particulier (endémisme, rareté ou menace d’extinction). La densité des arbres de plus de 10 cm de diamètre à hauteur de poitrine est de 175 tiges correspondant à une aire basale de 24,07 m2.
Quarante-un (41) ans après sa création, le stock de carbone total dans l’ensemble des tiges des espèces d’arbres du CNF est de 189,67 tC/ha. Selon leur diamètre, chaque arbre permet de stocker jusqu’à 18,9 Kg de carbone. Le coût financier total du taux de dioxyde de carbone séquestré varie de 3546,89 à 16 552,2 euros, soit de 2.305.478 FCFA à 10.758 930 FCFA, selon les marchés de carbone. Ce centre joue donc un rôle à la fois de conservation de la diversité biologique et d’atténuation des effets des ré-
chauffements climatiques en Côte d’Ivoire.</t>
        </r>
      </text>
    </comment>
    <comment ref="CP49" authorId="2">
      <text>
        <r>
          <rPr>
            <b/>
            <sz val="9"/>
            <color indexed="81"/>
            <rFont val="Tahoma"/>
            <family val="2"/>
          </rPr>
          <t xml:space="preserve">NBSAP - P.71: </t>
        </r>
        <r>
          <rPr>
            <sz val="9"/>
            <color indexed="81"/>
            <rFont val="Tahoma"/>
            <family val="2"/>
          </rPr>
          <t xml:space="preserve">Il est attesté que la diversité génétique des forêts influence positivement leurs résiliences. Dans un contexte ou le changement climatique et les épidémies sont redoutées, il est indispensable de préserver cette diversité qui améliore les capacités de résilience face aux évènements extrêmes et offre des opportunités à l’économie nationale. Dans cette perspective, il convient :
 (i) d’acquérir de meilleures connaissances sur la conservation des ressources génétiques et 
(ii) d’adopter des mesures de conservation ex situ.
</t>
        </r>
      </text>
    </comment>
    <comment ref="CQ49" authorId="2">
      <text>
        <r>
          <rPr>
            <b/>
            <sz val="9"/>
            <color indexed="81"/>
            <rFont val="Tahoma"/>
            <family val="2"/>
          </rPr>
          <t>Billy Tsekos:</t>
        </r>
        <r>
          <rPr>
            <sz val="9"/>
            <color indexed="81"/>
            <rFont val="Tahoma"/>
            <family val="2"/>
          </rPr>
          <t xml:space="preserve">
</t>
        </r>
        <r>
          <rPr>
            <b/>
            <sz val="9"/>
            <color indexed="81"/>
            <rFont val="Tahoma"/>
            <family val="2"/>
          </rPr>
          <t>NBSAP- P.56:</t>
        </r>
        <r>
          <rPr>
            <sz val="9"/>
            <color indexed="81"/>
            <rFont val="Tahoma"/>
            <family val="2"/>
          </rPr>
          <t xml:space="preserve"> L’impact des changements climatiques est anticipé 
Les mesures prioritaires comportent :
(i) l’élaboration d’une stratégie d’adaptation de la diversité biologique aux changements climatiques ; 
(ii) la création d’observatoire et de surveillance à long terme ;
(iii) l’identification des ressources biologiques susceptibles de favoriser la résilience des écosystèmes y compris pour l’agriculture
et à assurer la traduction des résultats dans les politiques.
</t>
        </r>
      </text>
    </comment>
    <comment ref="CV49" authorId="2">
      <text>
        <r>
          <rPr>
            <b/>
            <sz val="9"/>
            <color indexed="81"/>
            <rFont val="Tahoma"/>
            <family val="2"/>
          </rPr>
          <t>Billy Tsekos:</t>
        </r>
        <r>
          <rPr>
            <sz val="9"/>
            <color indexed="81"/>
            <rFont val="Tahoma"/>
            <family val="2"/>
          </rPr>
          <t xml:space="preserve">
</t>
        </r>
        <r>
          <rPr>
            <b/>
            <sz val="9"/>
            <color indexed="81"/>
            <rFont val="Tahoma"/>
            <family val="2"/>
          </rPr>
          <t xml:space="preserve">NR-P.64:  </t>
        </r>
        <r>
          <rPr>
            <sz val="9"/>
            <color indexed="81"/>
            <rFont val="Tahoma"/>
            <family val="2"/>
          </rPr>
          <t>Stratégie Nationale de Lutte contre la Désertification et la Dégradation des Terres.</t>
        </r>
      </text>
    </comment>
    <comment ref="CW49" authorId="2">
      <text>
        <r>
          <rPr>
            <b/>
            <sz val="9"/>
            <color indexed="81"/>
            <rFont val="Tahoma"/>
            <family val="2"/>
          </rPr>
          <t>Billy Tsekos:</t>
        </r>
        <r>
          <rPr>
            <sz val="9"/>
            <color indexed="81"/>
            <rFont val="Tahoma"/>
            <family val="2"/>
          </rPr>
          <t xml:space="preserve">
</t>
        </r>
        <r>
          <rPr>
            <b/>
            <sz val="9"/>
            <color indexed="81"/>
            <rFont val="Tahoma"/>
            <family val="2"/>
          </rPr>
          <t xml:space="preserve"> Objectif 9 :</t>
        </r>
        <r>
          <rPr>
            <sz val="9"/>
            <color indexed="81"/>
            <rFont val="Tahoma"/>
            <family val="2"/>
          </rPr>
          <t xml:space="preserve"> D’ici à 2020, 100% des aires protégées sont gérées defaçon efficace
Depuis 1926, les actions de l’Etat visant la sauvegarde de la diversité biologique ont permis de créer à partir de sites naturels un important réseau d’aires protégées couvrant 17% du territoire national.
</t>
        </r>
        <r>
          <rPr>
            <b/>
            <sz val="9"/>
            <color indexed="81"/>
            <rFont val="Tahoma"/>
            <family val="2"/>
          </rPr>
          <t xml:space="preserve">NBSAP-P.65: </t>
        </r>
        <r>
          <rPr>
            <sz val="9"/>
            <color indexed="81"/>
            <rFont val="Tahoma"/>
            <family val="2"/>
          </rPr>
          <t xml:space="preserve">Face à la régression des superficies des aires protégées et pour accroître le potentiel de conservation de tels réservoirs de diversité biologique, la Côte d’Ivoire a pris un certain nombre de résolutions telles que la cogestion, la mise en place d’une police forestière et la prise de la loi autorisant la création des Réserves Naturelles Volontaires (RNV) d’après la Loi n°2002-102 du 11 février 2002 sur les Parcs Nationaux. 
</t>
        </r>
        <r>
          <rPr>
            <b/>
            <sz val="9"/>
            <color indexed="81"/>
            <rFont val="Tahoma"/>
            <family val="2"/>
          </rPr>
          <t xml:space="preserve">
Les aires protégées dégradées sont restaurées</t>
        </r>
        <r>
          <rPr>
            <sz val="9"/>
            <color indexed="81"/>
            <rFont val="Tahoma"/>
            <family val="2"/>
          </rPr>
          <t xml:space="preserve">
A l’instar du Parc de la Marahoué, plusieurs parcs sont en situation de dégradation
avancée. Dans le contexte de redynamisation du réseau d’aires protégées, il
est indiqué de restaurer l’ensemble de ces aires affectées par la crise sociopolitique
ou par l’insuffisance des ressources de gestion. Le Parc National de la Marahoué,
le Parc National du Mont Péko, la réserve de faune d’Abokouamékro sont prioritaires.</t>
        </r>
      </text>
    </comment>
    <comment ref="DG49" authorId="2">
      <text>
        <r>
          <rPr>
            <b/>
            <sz val="9"/>
            <color indexed="81"/>
            <rFont val="Tahoma"/>
            <family val="2"/>
          </rPr>
          <t>Billy Tsekos:</t>
        </r>
        <r>
          <rPr>
            <sz val="9"/>
            <color indexed="81"/>
            <rFont val="Tahoma"/>
            <family val="2"/>
          </rPr>
          <t xml:space="preserve">
Réduction cumulée des émissions d’ici 2030 = 28%</t>
        </r>
      </text>
    </comment>
    <comment ref="DK49" authorId="2">
      <text>
        <r>
          <rPr>
            <b/>
            <sz val="9"/>
            <color indexed="81"/>
            <rFont val="Tahoma"/>
            <family val="2"/>
          </rPr>
          <t>Billy Tsekos:</t>
        </r>
        <r>
          <rPr>
            <sz val="9"/>
            <color indexed="81"/>
            <rFont val="Tahoma"/>
            <family val="2"/>
          </rPr>
          <t xml:space="preserve">
- Restauration des forêts classées avec l’implication des communautés locales
- Facilitation de la réhabilitation des terres dégradées et du reboisement des zones de savanes, et renforcer les stocks de carbone dans les forêts dégradées à travers la promotion du reboisement villageois
</t>
        </r>
      </text>
    </comment>
    <comment ref="DL49" authorId="2">
      <text>
        <r>
          <rPr>
            <b/>
            <sz val="9"/>
            <color indexed="81"/>
            <rFont val="Tahoma"/>
            <family val="2"/>
          </rPr>
          <t>Billy Tsekos:</t>
        </r>
        <r>
          <rPr>
            <sz val="9"/>
            <color indexed="81"/>
            <rFont val="Tahoma"/>
            <family val="2"/>
          </rPr>
          <t xml:space="preserve">
-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
- Découplage de la production agricole et de la déforestation via la promotion de pratiques agricoles intensives à impacts réduits sur l’environnement et l’agroforesterie.
- Concrétisation du concept « Agriculture zéro déforestation » et valorisation des produits associés
</t>
        </r>
      </text>
    </comment>
    <comment ref="DM49" authorId="2">
      <text>
        <r>
          <rPr>
            <b/>
            <sz val="9"/>
            <color indexed="81"/>
            <rFont val="Tahoma"/>
            <family val="2"/>
          </rPr>
          <t>Billy Tsekos:</t>
        </r>
        <r>
          <rPr>
            <sz val="9"/>
            <color indexed="81"/>
            <rFont val="Tahoma"/>
            <family val="2"/>
          </rPr>
          <t xml:space="preserve">
15 964,35 (ktonne Equiv. CO2) in 2012
</t>
        </r>
      </text>
    </comment>
    <comment ref="DO49" authorId="2">
      <text>
        <r>
          <rPr>
            <b/>
            <sz val="9"/>
            <color indexed="81"/>
            <rFont val="Tahoma"/>
            <family val="2"/>
          </rPr>
          <t>Billy Tsekos:</t>
        </r>
        <r>
          <rPr>
            <sz val="9"/>
            <color indexed="81"/>
            <rFont val="Tahoma"/>
            <family val="2"/>
          </rPr>
          <t xml:space="preserve">
38.4 % from agriculture only</t>
        </r>
      </text>
    </comment>
    <comment ref="EH49" authorId="0">
      <text>
        <r>
          <rPr>
            <sz val="9"/>
            <color indexed="81"/>
            <rFont val="Tahoma"/>
            <family val="2"/>
          </rPr>
          <t xml:space="preserve">Bonn challenge
Commitment= 1 million hectares 
Carbon sequestered= 0.09 GtCO2
Economic benefit= 314 million USD
</t>
        </r>
      </text>
    </comment>
    <comment ref="ER49" authorId="0">
      <text/>
    </comment>
    <comment ref="ET49" authorId="0">
      <text>
        <r>
          <rPr>
            <b/>
            <sz val="9"/>
            <color indexed="81"/>
            <rFont val="Tahoma"/>
            <family val="2"/>
          </rPr>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r>
      </text>
    </comment>
    <comment ref="EU49" authorId="0">
      <text>
        <r>
          <rPr>
            <b/>
            <sz val="9"/>
            <color indexed="81"/>
            <rFont val="Tahoma"/>
            <family val="2"/>
          </rPr>
          <t xml:space="preserve">15% by 2022
</t>
        </r>
      </text>
    </comment>
    <comment ref="Z5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More than 100 forest plant communities are represented in Croatia, covering cca 2.5 million ha almost a half of Croatian territory. High forests cover 37% of national territory and the rest are different degrees of degraded forest vegetation. Generally, forests are considered to be near-natural and in good state. Even 95% of forest vegetation is in its natural composition, which is rare and extremely valuable at both European and global level. </t>
        </r>
      </text>
    </comment>
    <comment ref="BX50" authorId="2">
      <text>
        <r>
          <rPr>
            <b/>
            <sz val="9"/>
            <color indexed="81"/>
            <rFont val="Tahoma"/>
            <family val="2"/>
          </rPr>
          <t>Billy Tsekos:</t>
        </r>
        <r>
          <rPr>
            <sz val="9"/>
            <color indexed="81"/>
            <rFont val="Tahoma"/>
            <family val="2"/>
          </rPr>
          <t xml:space="preserve">
</t>
        </r>
        <r>
          <rPr>
            <b/>
            <sz val="9"/>
            <color indexed="81"/>
            <rFont val="Tahoma"/>
            <family val="2"/>
          </rPr>
          <t xml:space="preserve">NR-P.2: </t>
        </r>
        <r>
          <rPr>
            <sz val="9"/>
            <color indexed="81"/>
            <rFont val="Tahoma"/>
            <family val="2"/>
          </rPr>
          <t>The fact is that the effects of many threats to biodiversity in Croatia are not completely known and they require further research, especially the issue of climate change effects on biodiversity</t>
        </r>
      </text>
    </comment>
    <comment ref="CW50" authorId="2">
      <text>
        <r>
          <rPr>
            <b/>
            <sz val="9"/>
            <color indexed="81"/>
            <rFont val="Tahoma"/>
            <family val="2"/>
          </rPr>
          <t>Billy Tsekos:</t>
        </r>
        <r>
          <rPr>
            <sz val="9"/>
            <color indexed="81"/>
            <rFont val="Tahoma"/>
            <family val="2"/>
          </rPr>
          <t xml:space="preserve">
</t>
        </r>
        <r>
          <rPr>
            <b/>
            <sz val="9"/>
            <color indexed="81"/>
            <rFont val="Tahoma"/>
            <family val="2"/>
          </rPr>
          <t xml:space="preserve">NR-P. iii: </t>
        </r>
        <r>
          <rPr>
            <sz val="9"/>
            <color indexed="81"/>
            <rFont val="Tahoma"/>
            <family val="2"/>
          </rPr>
          <t>There is an increase in total surface at the state level from 7.56% in 2009. More than 50% of area is covered by nature parks. Eight new areas have been protected since 200</t>
        </r>
      </text>
    </comment>
    <comment ref="EH50" authorId="0">
      <text>
        <r>
          <rPr>
            <sz val="9"/>
            <color indexed="81"/>
            <rFont val="Tahoma"/>
            <family val="2"/>
          </rPr>
          <t xml:space="preserve">Bonn challenge
Commitment= 3.9million hectares 
Carbon sequestered= 0.37 GtCO2
Economic benefit= 1,225 million USD
</t>
        </r>
      </text>
    </comment>
    <comment ref="ER50" authorId="0">
      <text>
        <r>
          <rPr>
            <b/>
            <sz val="9"/>
            <color indexed="81"/>
            <rFont val="Tahoma"/>
            <family val="2"/>
          </rPr>
          <t xml:space="preserve">No match - Closest found is </t>
        </r>
        <r>
          <rPr>
            <sz val="9"/>
            <color indexed="81"/>
            <rFont val="Tahoma"/>
            <family val="2"/>
          </rPr>
          <t xml:space="preserve">
Meta 8 Al 2022, se habrán puesto en marcha mecanismos para lograr la sostenibilidad en el uso de la diversidad biológica y servicios ecosistémicos en todos los sectores e instituciones del Estado, así como en los niveles nacional, regional y municipal-local.</t>
        </r>
      </text>
    </comment>
    <comment ref="ET50" authorId="5">
      <text>
        <r>
          <rPr>
            <sz val="11"/>
            <color theme="1"/>
            <rFont val="Calibri"/>
            <family val="2"/>
            <scheme val="minor"/>
          </rPr>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r>
      </text>
    </comment>
    <comment ref="EU50" authorId="5">
      <text>
        <r>
          <rPr>
            <sz val="11"/>
            <color theme="1"/>
            <rFont val="Calibri"/>
            <family val="2"/>
            <scheme val="minor"/>
          </rPr>
          <t>Meta nacional 5. Al 2022 el
15% de la diversidad biológi-
ca y sus servicios ecosistémi-
cos se habrán restaurado me-
jorando sus capacidades de
adaptación al cambio climá-
tico y contribuyendo a la dis-
minución de la vulnerabilidad
socio ambiental.</t>
        </r>
      </text>
    </comment>
    <comment ref="Z51" authorId="0">
      <text>
        <r>
          <rPr>
            <b/>
            <sz val="9"/>
            <color indexed="81"/>
            <rFont val="Tahoma"/>
            <family val="2"/>
          </rPr>
          <t>1492, 1900, 1958, 2007 estimates..
Por provincia, p 34
boscosidad.
INDICE BOSCOSIDAD
PROVINCIAS 2006 2007
PINAR DEL RIO 39.7 39.9
CIUDAD LA HABANA 5.6 8.2
LA HABANA 13.0 12.4
MATANZAS 28.4 28.4
VILLA CLARA 20.5 20.8
CIENFUEGOS 14.0 14.6
SANCTI SPIRITUS 13.9 15.2
CIEGO DE AVILA 15.7 15.9
CAMAGUEY 22.1 22.4
LAS TUNAS 13.8 14.0
HOLGUIN 31.5 31.6
GRANMA 19.5 20.2
SANTIAGO DE CUBA 28.5 29.0
GUANTANAMO 39.5 39.8
ISLA DE LA JUVENTUD 63.2 63.3
TOTAL NACIONAL 24.9 25.3</t>
        </r>
      </text>
    </comment>
    <comment ref="AH51" authorId="0">
      <text>
        <r>
          <rPr>
            <b/>
            <sz val="9"/>
            <color indexed="81"/>
            <rFont val="Tahoma"/>
            <family val="2"/>
          </rPr>
          <t xml:space="preserve">p 72
</t>
        </r>
        <r>
          <rPr>
            <sz val="9"/>
            <color indexed="81"/>
            <rFont val="Tahoma"/>
            <family val="2"/>
          </rPr>
          <t>Del año 2000 a la fecha, el índice de boscosidad de Cuba se ha incrementado de 22,2 % a 25,3%. Al
cierre del año 2007, la superficie forestal cubierta del país ascendía a 2778,5 miles de ha, de las cuales
427,0 miles de ha son de plantaciones (bosques plantados) y 2351,5 miles de ha son bosques naturales.
De este total, los bosques de conservación, en los cuales no están permitidas talas económicas,
constituyen el 22% y se desglosan por categorías, de la siguiente forma:
Bosques de conservación (UM: ha)
Total Plantaciones Bosques
BOSQUES DE CONSERVACIÓN naturales
611515.1 24184.7 587330.4
Bosques de Manejo Especial 159085.3 9381.1 149704.3
Bosques para la Protección y Conservación de la Fauna 438510.8 8254.3 430256.5
Bosques Educativos y Científicos 2131.6 951.1 1180.5
Bosques Recreativos 11787.4 5598.3 6189.1</t>
        </r>
      </text>
    </comment>
    <comment ref="BT51" authorId="0">
      <text>
        <r>
          <rPr>
            <b/>
            <sz val="9"/>
            <color indexed="81"/>
            <rFont val="Tahoma"/>
            <family val="2"/>
          </rPr>
          <t>3. Del análisis realizado al cierre de la dinámica forestal en 2003 y 2007, en cuanto a la diversidad de
especies utilizadas en la reforestación, (Linares et al., 200546 y Linares et al., inédito47) se hicieron las
siguientes recomendaciones:
a. Urge incluir en los planes de reforestación, aunque sea a pequeña escala, una mayor cantidad de
las especies declaradas como protegidas en la Ley Forestal de forma tal que todas estén
reflejadas en los balances nacionales de plantaciones establecidas, priorizando su empleo en las
áreas dedicadas a la protección y a la conservación
b. Resulta conveniente disminuir el establecimiento de plantaciones de Pino macho (Pinus
caribaea var. Caribaea) en las cuatro provincias más orientales del país, así como establecer una
estrategia que a mediano plazo permita sustituir esta especie por los pinos propios de esa región,
tanto por razones fitosanitarias como para la protección de la biodiversidad y del fondo genético
del Pino de la Maestra (Pinus maestrensis) y del Pino de Mayarí (Pinus cubensis).
c. El sostenido aumento de las plantaciones de ipil-ipil (Leucaena sp.) constituye un peligro
potencial para la conservación de la diversidad arbórea forestal y para la materialización de
algunos de los objetivos productivos previstos en los Programas de Desarrollo hasta el 2015, por
lo que debe ser objeto de especial control y regulación.
d. Las reducciones de las plantaciones de mangle rojo (Rizophora mangle) en Camagüey y Sancti
Spíritus constituyen una amenaza potencial a la sostenibilidad de los ecosistemas costeros y de
la formación manglar, siendo preciso identificar y erradicar sus causas.</t>
        </r>
      </text>
    </comment>
    <comment ref="BX51" authorId="0">
      <text>
        <r>
          <rPr>
            <b/>
            <sz val="9"/>
            <color indexed="81"/>
            <rFont val="Tahoma"/>
            <family val="2"/>
          </rPr>
          <t>mapa de pressiones sobre as manglares, p 37</t>
        </r>
      </text>
    </comment>
    <comment ref="CW51" authorId="0">
      <text>
        <r>
          <rPr>
            <b/>
            <sz val="9"/>
            <color indexed="81"/>
            <rFont val="Tahoma"/>
            <family val="2"/>
          </rPr>
          <t>resprensentativity of PA system assessed</t>
        </r>
      </text>
    </comment>
    <comment ref="DA51" authorId="5">
      <text>
        <r>
          <rPr>
            <sz val="11"/>
            <color theme="1"/>
            <rFont val="Calibri"/>
            <family val="2"/>
            <scheme val="minor"/>
          </rPr>
          <t>p. 14</t>
        </r>
      </text>
    </comment>
    <comment ref="DB51" authorId="5">
      <text>
        <r>
          <rPr>
            <sz val="11"/>
            <color theme="1"/>
            <rFont val="Calibri"/>
            <family val="2"/>
            <scheme val="minor"/>
          </rPr>
          <t>p. 14</t>
        </r>
      </text>
    </comment>
    <comment ref="ER51" authorId="0">
      <text>
        <r>
          <rPr>
            <sz val="9"/>
            <color indexed="81"/>
            <rFont val="Tahoma"/>
            <family val="2"/>
          </rPr>
          <t xml:space="preserve">SO7: Improve substantially biodiversity monitoring at the national level and within key productive sectors as well as the private sector. </t>
        </r>
      </text>
    </comment>
    <comment ref="ET51" authorId="5">
      <text>
        <r>
          <rPr>
            <sz val="11"/>
            <color theme="1"/>
            <rFont val="Calibri"/>
            <family val="2"/>
            <scheme val="minor"/>
          </rPr>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r>
      </text>
    </comment>
    <comment ref="EU51" authorId="5">
      <text>
        <r>
          <rPr>
            <sz val="11"/>
            <color theme="1"/>
            <rFont val="Calibri"/>
            <family val="2"/>
            <scheme val="minor"/>
          </rPr>
          <t>pag 45 of the CBD Strategy and Action Plan - Guyana (English version)-----&gt;
``...By 2015, at least three (3)
mined-out sites have
been duly restored and
managed...``</t>
        </r>
      </text>
    </comment>
    <comment ref="Z52" authorId="2">
      <text>
        <r>
          <rPr>
            <b/>
            <sz val="9"/>
            <color indexed="81"/>
            <rFont val="Tahoma"/>
            <family val="2"/>
          </rPr>
          <t>Billy Tsekos:</t>
        </r>
        <r>
          <rPr>
            <sz val="9"/>
            <color indexed="81"/>
            <rFont val="Tahoma"/>
            <family val="2"/>
          </rPr>
          <t xml:space="preserve">
</t>
        </r>
        <r>
          <rPr>
            <b/>
            <sz val="9"/>
            <color indexed="81"/>
            <rFont val="Tahoma"/>
            <family val="2"/>
          </rPr>
          <t xml:space="preserve">NR-P.7: </t>
        </r>
        <r>
          <rPr>
            <sz val="9"/>
            <color indexed="81"/>
            <rFont val="Tahoma"/>
            <family val="2"/>
          </rPr>
          <t>In the Island high forests cover about 17% of the island, extending mainly on the Troodos and Pentadactylos ranges, whereas the lower hills are covered by shrubs, maquis, phrygana, and cultivations as well as built-up areas. The plains, like the Mesaoria plain and the coastal zones are covered by cultivations (about 45% of the island) and settlements, with areas of natural to semi-natural vegetation types</t>
        </r>
      </text>
    </comment>
    <comment ref="BP52" authorId="2">
      <text>
        <r>
          <rPr>
            <b/>
            <sz val="9"/>
            <color indexed="81"/>
            <rFont val="Tahoma"/>
            <family val="2"/>
          </rPr>
          <t>Billy Tsekos:</t>
        </r>
        <r>
          <rPr>
            <sz val="9"/>
            <color indexed="81"/>
            <rFont val="Tahoma"/>
            <family val="2"/>
          </rPr>
          <t xml:space="preserve">
</t>
        </r>
        <r>
          <rPr>
            <b/>
            <sz val="9"/>
            <color indexed="81"/>
            <rFont val="Tahoma"/>
            <family val="2"/>
          </rPr>
          <t>NR-P.12:</t>
        </r>
        <r>
          <rPr>
            <sz val="9"/>
            <color indexed="81"/>
            <rFont val="Tahoma"/>
            <family val="2"/>
          </rPr>
          <t xml:space="preserve"> the over-all arching by 2020 will put in place measures so that biodiversity is maintained and enhanced, further degradation has to be halted and where possible, restoration should be enforced to help and deliver more resilient and coherent ecological networks, healthy and well-functioning ecosystems, which can deliver multiple benefits for wildlife and people, and should include:
* Better habitats for wildlife and for priority habitats in favourable or recovering condition for at least 50 per cent of PAs
</t>
        </r>
        <r>
          <rPr>
            <b/>
            <sz val="9"/>
            <color indexed="81"/>
            <rFont val="Tahoma"/>
            <family val="2"/>
          </rPr>
          <t>NR-P.17:</t>
        </r>
        <r>
          <rPr>
            <sz val="9"/>
            <color indexed="81"/>
            <rFont val="Tahoma"/>
            <family val="2"/>
          </rPr>
          <t xml:space="preserve"> Some of the most significant LIFE projects focused on the improvement of conservation and restoration of the N2K areas for ecosystems, habitats and species. Currently the Environment Department has paid significant attention on designation of Special Areas of Conservation (SAC) and general protection of the habitats and wildlife (flora and fauna) and, conservation of the sites integrity. Specific attention has been given to wetlands coastal habitats and rivers.
Current funds (horizon 2014-2020) will contribute significantly to the establishment of more - cohesive - natural landscapes, and to prevent further fragmentation and natural destruction of natural habitats. Landscape elements have been incorporated in the Rural Development Plan (2014-2020) for protection, conservation and rehabilitation.</t>
        </r>
      </text>
    </comment>
    <comment ref="CK52" authorId="2">
      <text>
        <r>
          <rPr>
            <b/>
            <sz val="9"/>
            <color indexed="81"/>
            <rFont val="Tahoma"/>
            <family val="2"/>
          </rPr>
          <t>Billy Tsekos:</t>
        </r>
        <r>
          <rPr>
            <sz val="9"/>
            <color indexed="81"/>
            <rFont val="Tahoma"/>
            <family val="2"/>
          </rPr>
          <t xml:space="preserve">
</t>
        </r>
        <r>
          <rPr>
            <b/>
            <sz val="9"/>
            <color indexed="81"/>
            <rFont val="Tahoma"/>
            <family val="2"/>
          </rPr>
          <t xml:space="preserve">NR-P.10: </t>
        </r>
        <r>
          <rPr>
            <sz val="9"/>
            <color indexed="81"/>
            <rFont val="Tahoma"/>
            <family val="2"/>
          </rPr>
          <t xml:space="preserve">Benefits have been calculated for the forest ecosystem services such as the absorption of C02, (45,8 k.t. including wild fires in forest lands). </t>
        </r>
      </text>
    </comment>
    <comment ref="ET52" authorId="0">
      <text>
        <r>
          <rPr>
            <sz val="11"/>
            <color theme="1"/>
            <rFont val="Calibri"/>
            <family val="2"/>
            <scheme val="minor"/>
          </rPr>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EU52" authorId="0">
      <text>
        <r>
          <rPr>
            <b/>
            <sz val="9"/>
            <color indexed="81"/>
            <rFont val="Tahoma"/>
            <family val="2"/>
          </rPr>
          <t xml:space="preserve">69 mil hectáreas
</t>
        </r>
        <r>
          <rPr>
            <sz val="9"/>
            <color indexed="81"/>
            <rFont val="Tahoma"/>
            <family val="2"/>
          </rPr>
          <t xml:space="preserve">
Misión Árbol, ya que, se constituye en una de las iniciativas más revolucionarias para la conservación de especies amenazadas de Flora, en las proyecciones del Plan 2010 – 2014 se reforestaron, con especies autóctonas alrededor de 69 mil hectáreas, teniendo como prioridad las áreas ubicadas en los estados:Táchira, Barinas, Mérida, Trujillo, Portuguesa, Anzoátegui y Sucre. La implementación y el seguimiento y el apoyo a esta Misión garantizan la consecución de esta meta a largo plazo.</t>
        </r>
      </text>
    </comment>
    <comment ref="EH53" authorId="0">
      <text>
        <r>
          <rPr>
            <b/>
            <sz val="9"/>
            <color indexed="81"/>
            <rFont val="Tahoma"/>
            <family val="2"/>
          </rPr>
          <t>Quintana Roo State
300,000 ha
Campeche State
400,000 ha
Yucatan State
250,000 ha</t>
        </r>
      </text>
    </comment>
    <comment ref="ER53" authorId="5">
      <text>
        <r>
          <rPr>
            <sz val="11"/>
            <color theme="1"/>
            <rFont val="Calibri"/>
            <family val="2"/>
            <scheme val="minor"/>
          </rPr>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r>
      </text>
    </comment>
    <comment ref="ET53" authorId="5">
      <text>
        <r>
          <rPr>
            <sz val="11"/>
            <color theme="1"/>
            <rFont val="Calibri"/>
            <family val="2"/>
            <scheme val="minor"/>
          </rPr>
          <t>Objetivo estratégico D. Ampliar los beneficios de la biodiversidad y los bienes y servicios ecosistémicos para todos los
habitantes</t>
        </r>
      </text>
    </comment>
    <comment ref="Z54" authorId="1">
      <text>
        <r>
          <rPr>
            <b/>
            <sz val="9"/>
            <color indexed="81"/>
            <rFont val="Tahoma"/>
            <family val="2"/>
          </rPr>
          <t>billy.tsekos:</t>
        </r>
        <r>
          <rPr>
            <sz val="9"/>
            <color indexed="81"/>
            <rFont val="Tahoma"/>
            <family val="2"/>
          </rPr>
          <t xml:space="preserve">
</t>
        </r>
        <r>
          <rPr>
            <b/>
            <sz val="9"/>
            <color indexed="81"/>
            <rFont val="Tahoma"/>
            <family val="2"/>
          </rPr>
          <t xml:space="preserve">NBSAP-P.42: </t>
        </r>
        <r>
          <rPr>
            <sz val="9"/>
            <color indexed="81"/>
            <rFont val="Tahoma"/>
            <family val="2"/>
          </rPr>
          <t xml:space="preserve">In 2005, forest land area in DPR Korea was 8,927,300ha, which accounts for about 72.5% of territorial area. Among forest land, treed forest land is 7,643,200ha wide, treeless forest land reaches 876,800ha and remains for others. During the past decade, treeless forest land area had increased as wide as 496,800 ha from 380,000 ha (in 1996). 
</t>
        </r>
      </text>
    </comment>
    <comment ref="AH54" authorId="1">
      <text>
        <r>
          <rPr>
            <b/>
            <sz val="9"/>
            <color indexed="81"/>
            <rFont val="Tahoma"/>
            <family val="2"/>
          </rPr>
          <t>billy.tsekos:</t>
        </r>
        <r>
          <rPr>
            <sz val="9"/>
            <color indexed="81"/>
            <rFont val="Tahoma"/>
            <family val="2"/>
          </rPr>
          <t xml:space="preserve">
</t>
        </r>
        <r>
          <rPr>
            <b/>
            <sz val="9"/>
            <color indexed="81"/>
            <rFont val="Tahoma"/>
            <family val="2"/>
          </rPr>
          <t>NBSAP-P.42:</t>
        </r>
        <r>
          <rPr>
            <sz val="9"/>
            <color indexed="81"/>
            <rFont val="Tahoma"/>
            <family val="2"/>
          </rPr>
          <t xml:space="preserve"> In 2005, forest land area in DPR Korea was 8,927,300ha, which accounts for about 72.5% of territorial area. Among forest land, treed forest land is 7,643,200ha wide, </t>
        </r>
        <r>
          <rPr>
            <b/>
            <sz val="9"/>
            <color indexed="81"/>
            <rFont val="Tahoma"/>
            <family val="2"/>
          </rPr>
          <t xml:space="preserve">treeless forest land reaches 876,800ha and remains for others. During the past decade, treeless forest land area had increased as wide as 496,800 ha from 380,000 ha (in 1996). </t>
        </r>
      </text>
    </comment>
    <comment ref="AV54" authorId="1">
      <text>
        <r>
          <rPr>
            <b/>
            <sz val="9"/>
            <color indexed="81"/>
            <rFont val="Tahoma"/>
            <family val="2"/>
          </rPr>
          <t>billy.tsekos:</t>
        </r>
        <r>
          <rPr>
            <sz val="9"/>
            <color indexed="81"/>
            <rFont val="Tahoma"/>
            <family val="2"/>
          </rPr>
          <t xml:space="preserve">
</t>
        </r>
        <r>
          <rPr>
            <b/>
            <sz val="9"/>
            <color indexed="81"/>
            <rFont val="Tahoma"/>
            <family val="2"/>
          </rPr>
          <t>NBSAP-P.14:</t>
        </r>
        <r>
          <rPr>
            <sz val="9"/>
            <color indexed="81"/>
            <rFont val="Tahoma"/>
            <family val="2"/>
          </rPr>
          <t xml:space="preserve"> forests on lowlands in South Pyongan Province and north and south Hwanghae Provinces are very poor in forest stock for serious impact by human. Especially, the ones near populated areas are greatly degraded. As a result, heavy rains due to climate change caused serious soil erosion in mountains and failure in flood mitigation. 
</t>
        </r>
      </text>
    </comment>
    <comment ref="BA54" authorId="1">
      <text>
        <r>
          <rPr>
            <b/>
            <sz val="9"/>
            <color indexed="81"/>
            <rFont val="Tahoma"/>
            <family val="2"/>
          </rPr>
          <t>billy.tsekos:
NBSAP.P.84-Action 8:</t>
        </r>
        <r>
          <rPr>
            <sz val="9"/>
            <color indexed="81"/>
            <rFont val="Tahoma"/>
            <family val="2"/>
          </rPr>
          <t xml:space="preserve"> Recover degraded ecosystems and halt habitat loss </t>
        </r>
      </text>
    </comment>
    <comment ref="BH54" authorId="1">
      <text>
        <r>
          <rPr>
            <b/>
            <sz val="9"/>
            <color indexed="81"/>
            <rFont val="Tahoma"/>
            <family val="2"/>
          </rPr>
          <t>billy.tsekos:</t>
        </r>
        <r>
          <rPr>
            <sz val="9"/>
            <color indexed="81"/>
            <rFont val="Tahoma"/>
            <family val="2"/>
          </rPr>
          <t xml:space="preserve">
</t>
        </r>
        <r>
          <rPr>
            <b/>
            <sz val="9"/>
            <color indexed="81"/>
            <rFont val="Tahoma"/>
            <family val="2"/>
          </rPr>
          <t xml:space="preserve">NBSAP.P.28- </t>
        </r>
        <r>
          <rPr>
            <sz val="9"/>
            <color indexed="81"/>
            <rFont val="Tahoma"/>
            <family val="2"/>
          </rPr>
          <t xml:space="preserve">Tense food problem due to difficult economic deadlock in 90’s of last century made sloping forests subjected to the transformation into agricultural land, resulting in serious loss of biodiversity. Reckless deforestation followed by its fragmentation causes loss of habitats for wild animals and plants. 
</t>
        </r>
        <r>
          <rPr>
            <b/>
            <sz val="9"/>
            <color indexed="81"/>
            <rFont val="Tahoma"/>
            <family val="2"/>
          </rPr>
          <t xml:space="preserve">NBSAP.P.84- </t>
        </r>
        <r>
          <rPr>
            <sz val="9"/>
            <color indexed="81"/>
            <rFont val="Tahoma"/>
            <family val="2"/>
          </rPr>
          <t xml:space="preserve">Giving priority to improving the management of reserves and eco-environment protective forest, national protection network will be formed, which will be composed of ecoenvironment protective forests and reserves connected with buffer zones around them and ecological corridors, so that habitat fragmentation can be halted and the function and services of ecosystem can also be exerted fully. </t>
        </r>
      </text>
    </comment>
    <comment ref="BI54" authorId="1">
      <text>
        <r>
          <rPr>
            <b/>
            <sz val="9"/>
            <color indexed="81"/>
            <rFont val="Tahoma"/>
            <family val="2"/>
          </rPr>
          <t>billy.tsekos:</t>
        </r>
        <r>
          <rPr>
            <sz val="9"/>
            <color indexed="81"/>
            <rFont val="Tahoma"/>
            <family val="2"/>
          </rPr>
          <t xml:space="preserve">
</t>
        </r>
        <r>
          <rPr>
            <b/>
            <sz val="9"/>
            <color indexed="81"/>
            <rFont val="Tahoma"/>
            <family val="2"/>
          </rPr>
          <t>NBSAP- P.76: Goal 7</t>
        </r>
        <r>
          <rPr>
            <sz val="9"/>
            <color indexed="81"/>
            <rFont val="Tahoma"/>
            <family val="2"/>
          </rPr>
          <t xml:space="preserve">: Strengthen scientific research on conservation and sustainable use of biodiversity 
</t>
        </r>
      </text>
    </comment>
    <comment ref="BP54" authorId="1">
      <text>
        <r>
          <rPr>
            <b/>
            <sz val="9"/>
            <color indexed="81"/>
            <rFont val="Tahoma"/>
            <family val="2"/>
          </rPr>
          <t>billy.tsekos:</t>
        </r>
        <r>
          <rPr>
            <sz val="9"/>
            <color indexed="81"/>
            <rFont val="Tahoma"/>
            <family val="2"/>
          </rPr>
          <t xml:space="preserve">
</t>
        </r>
        <r>
          <rPr>
            <b/>
            <sz val="9"/>
            <color indexed="81"/>
            <rFont val="Tahoma"/>
            <family val="2"/>
          </rPr>
          <t xml:space="preserve">NBSAP-P.80: Action 2: </t>
        </r>
        <r>
          <rPr>
            <sz val="9"/>
            <color indexed="81"/>
            <rFont val="Tahoma"/>
            <family val="2"/>
          </rPr>
          <t xml:space="preserve">Promote the conservation of ecosystem and habitat biodiversity Conservation of ecosystem and habitat is the most vital for biodiversity conservation. Key point of ecosystem and habitat conservation is the establishment of protected areas and protected area system.
For DPR Korea, of importance is to improve the management quality of already established protected areas that has stretched 7.25% of the whole territory since 2003. Site-based biodiversity objectives for each protected area will be identified, corresponding management institutions and regulations be established and legal control and protective management be improved. Restoration of the recently degraded ecosystems will be encouraged. Bio-resource management in the protected areas and their vicinity should be improved in respect to the high population density of the country. With this view, education &amp; public awareness will be enhanced, and the model of participatory management of protected area will be created and generalized, where reserve’s industry will be found while local residents will obtain ecoenvironmental and socio-economic benefits from reserve. Acreage of protected area is intended to be enlarged to 10% of the whole territory of DPR Korea.
</t>
        </r>
        <r>
          <rPr>
            <b/>
            <sz val="9"/>
            <color indexed="81"/>
            <rFont val="Tahoma"/>
            <family val="2"/>
          </rPr>
          <t xml:space="preserve">
NBSAP-P.42:</t>
        </r>
        <r>
          <rPr>
            <sz val="9"/>
            <color indexed="81"/>
            <rFont val="Tahoma"/>
            <family val="2"/>
          </rPr>
          <t xml:space="preserve"> The MLEP arranged the restoration of destroyed nurseries and the establishment of a newCentral Nursery with an area of 100 ha in 2000, and also organized the construction of mother nurseries of 20-25 ha at municipal and county levels, which resulted in the increase of sapling production capacity in 2002 four times as much as that in 1994. since 2002, annual reforestation of over 900,000,000 trees has been organized as a nationwide campaign.
</t>
        </r>
        <r>
          <rPr>
            <b/>
            <sz val="9"/>
            <color indexed="81"/>
            <rFont val="Tahoma"/>
            <family val="2"/>
          </rPr>
          <t>NBSAP- P. 111:</t>
        </r>
        <r>
          <rPr>
            <sz val="9"/>
            <color indexed="81"/>
            <rFont val="Tahoma"/>
            <family val="2"/>
          </rPr>
          <t xml:space="preserve">The restoration of degraded forests of 700,000 ha, sustainable management of industrial forests for lumber production (2,000,000 ha) and the management improvement of the forests belonging to cooperative farms (200,000 ha) are urgently requesting the establishment of sustainable forest management system with emphasis on the biodiversity conservation of forest ecosystem. 
</t>
        </r>
        <r>
          <rPr>
            <b/>
            <sz val="9"/>
            <color indexed="81"/>
            <rFont val="Tahoma"/>
            <family val="2"/>
          </rPr>
          <t>NBSAP- P.110:
Project Title:</t>
        </r>
        <r>
          <rPr>
            <sz val="9"/>
            <color indexed="81"/>
            <rFont val="Tahoma"/>
            <family val="2"/>
          </rPr>
          <t xml:space="preserve"> Restoration of degraded forests and improvement of catchment area management
</t>
        </r>
        <r>
          <rPr>
            <b/>
            <sz val="9"/>
            <color indexed="81"/>
            <rFont val="Tahoma"/>
            <family val="2"/>
          </rPr>
          <t>Objective:</t>
        </r>
        <r>
          <rPr>
            <sz val="9"/>
            <color indexed="81"/>
            <rFont val="Tahoma"/>
            <family val="2"/>
          </rPr>
          <t xml:space="preserve">To promote the quick restoration of recently degraded forests and integrated it to the catchment area management so as to build up the capacity for sustainable management of catchment areas.
</t>
        </r>
        <r>
          <rPr>
            <b/>
            <sz val="9"/>
            <color indexed="81"/>
            <rFont val="Tahoma"/>
            <family val="2"/>
          </rPr>
          <t>NBSAP- P.102:</t>
        </r>
        <r>
          <rPr>
            <sz val="9"/>
            <color indexed="81"/>
            <rFont val="Tahoma"/>
            <family val="2"/>
          </rPr>
          <t xml:space="preserve">
</t>
        </r>
        <r>
          <rPr>
            <b/>
            <sz val="9"/>
            <color indexed="81"/>
            <rFont val="Tahoma"/>
            <family val="2"/>
          </rPr>
          <t>Project Title:</t>
        </r>
        <r>
          <rPr>
            <sz val="9"/>
            <color indexed="81"/>
            <rFont val="Tahoma"/>
            <family val="2"/>
          </rPr>
          <t xml:space="preserve">  Preparation of Wetland Action Plan and restoration of degraded wetland ecosystem
</t>
        </r>
        <r>
          <rPr>
            <b/>
            <sz val="9"/>
            <color indexed="81"/>
            <rFont val="Tahoma"/>
            <family val="2"/>
          </rPr>
          <t>Objective:</t>
        </r>
        <r>
          <rPr>
            <sz val="9"/>
            <color indexed="81"/>
            <rFont val="Tahoma"/>
            <family val="2"/>
          </rPr>
          <t xml:space="preserve">
- To create the national action plan which will serve as a guideline for the improvement of public awareness on the importance of the conservation and sustainable use of wetland ecosystem, and for the scientification, standardization and modernization of the conservation and sustainable use of wetlands;
- To restore the wetlands which are of international significance but have been considerably degraded, on which creating and extensively disseminating the model 
</t>
        </r>
      </text>
    </comment>
    <comment ref="BT54" authorId="1">
      <text>
        <r>
          <rPr>
            <b/>
            <sz val="9"/>
            <color indexed="81"/>
            <rFont val="Tahoma"/>
            <family val="2"/>
          </rPr>
          <t>billy.tsekos:</t>
        </r>
        <r>
          <rPr>
            <sz val="9"/>
            <color indexed="81"/>
            <rFont val="Tahoma"/>
            <family val="2"/>
          </rPr>
          <t xml:space="preserve">
</t>
        </r>
        <r>
          <rPr>
            <b/>
            <sz val="9"/>
            <color indexed="81"/>
            <rFont val="Tahoma"/>
            <family val="2"/>
          </rPr>
          <t>NBSAP-P.43: I</t>
        </r>
        <r>
          <rPr>
            <sz val="9"/>
            <color indexed="81"/>
            <rFont val="Tahoma"/>
            <family val="2"/>
          </rPr>
          <t xml:space="preserve">t is important to actually promote the restoration and maintenance of degraded forests (740,000ha) through afforestation and succession, sustainable management of industrial forests (2,000,000 ha), introduction of agro-forestry management into sloping lands (340,000ha) and effective management of co-operative farms’ forests (200,000 ha.) 
</t>
        </r>
      </text>
    </comment>
    <comment ref="BX54" authorId="1">
      <text>
        <r>
          <rPr>
            <b/>
            <sz val="9"/>
            <color indexed="81"/>
            <rFont val="Tahoma"/>
            <family val="2"/>
          </rPr>
          <t>billy.tsekos:</t>
        </r>
        <r>
          <rPr>
            <sz val="9"/>
            <color indexed="81"/>
            <rFont val="Tahoma"/>
            <family val="2"/>
          </rPr>
          <t xml:space="preserve">
</t>
        </r>
        <r>
          <rPr>
            <b/>
            <sz val="9"/>
            <color indexed="81"/>
            <rFont val="Tahoma"/>
            <family val="2"/>
          </rPr>
          <t xml:space="preserve">NBSAP- P. 27: </t>
        </r>
        <r>
          <rPr>
            <sz val="9"/>
            <color indexed="81"/>
            <rFont val="Tahoma"/>
            <family val="2"/>
          </rPr>
          <t xml:space="preserve">
* The excessive use of natural resources over its reproduction capacity causes depletion of natural resources and loss of biodiversity.
* The excessive use of natural resources is closely related to population increase.
* The DPR Korea is relatively high in population density for its territory.
* The degradation of forest ecosystem is caused by overuse of forest resources, inter alia firewood due to acute rural energy problem according to population increase.
* The degradation of forest ecosystem due to overuse of its resources causes the decrease in animal/plant resources.
</t>
        </r>
        <r>
          <rPr>
            <b/>
            <sz val="9"/>
            <color indexed="81"/>
            <rFont val="Tahoma"/>
            <family val="2"/>
          </rPr>
          <t>NBSAP- P. 42:</t>
        </r>
        <r>
          <rPr>
            <sz val="9"/>
            <color indexed="81"/>
            <rFont val="Tahoma"/>
            <family val="2"/>
          </rPr>
          <t xml:space="preserve"> Main factors for the expansion of treeless forest land are excessive felling due to firewood shortage in rural areas and the unsustainable land reclamation for the cultivation of crops. Moreover damages by pest and disease related to the change of forest ecosystems and by fire are not ignorable.
Without active measures to the protection of soil erosion, it takes long time to recover the forests, once destroyed, in our country of having dry spring, rainy summer (more than 60% of annual precipitation), steep and rugged mountains.
In this context, the government of DPR Korea has put forward the policy for tree-planting and afforestation to increase forested area and to improve the structure and ecological function of the forest. Nationwide campaign for implementing this policy has been strenuously promoted. </t>
        </r>
      </text>
    </comment>
    <comment ref="CC54" authorId="1">
      <text>
        <r>
          <rPr>
            <b/>
            <sz val="9"/>
            <color indexed="81"/>
            <rFont val="Tahoma"/>
            <family val="2"/>
          </rPr>
          <t>billy.tsekos:</t>
        </r>
        <r>
          <rPr>
            <sz val="9"/>
            <color indexed="81"/>
            <rFont val="Tahoma"/>
            <family val="2"/>
          </rPr>
          <t xml:space="preserve">
</t>
        </r>
        <r>
          <rPr>
            <b/>
            <sz val="9"/>
            <color indexed="81"/>
            <rFont val="Tahoma"/>
            <family val="2"/>
          </rPr>
          <t>NBSAP-P.43:</t>
        </r>
        <r>
          <rPr>
            <sz val="9"/>
            <color indexed="81"/>
            <rFont val="Tahoma"/>
            <family val="2"/>
          </rPr>
          <t xml:space="preserve"> The creation of firewood forests (total area of 800,000 ha) to solve the problem of wood for fuel, which is to blame for forest destruction and soil degradation, is gaining more and more impetus. 
</t>
        </r>
      </text>
    </comment>
    <comment ref="CQ54" authorId="1">
      <text>
        <r>
          <rPr>
            <b/>
            <sz val="9"/>
            <color indexed="81"/>
            <rFont val="Tahoma"/>
            <family val="2"/>
          </rPr>
          <t>billy.tsekos:</t>
        </r>
        <r>
          <rPr>
            <sz val="9"/>
            <color indexed="81"/>
            <rFont val="Tahoma"/>
            <family val="2"/>
          </rPr>
          <t xml:space="preserve">
</t>
        </r>
        <r>
          <rPr>
            <b/>
            <sz val="9"/>
            <color indexed="81"/>
            <rFont val="Tahoma"/>
            <family val="2"/>
          </rPr>
          <t xml:space="preserve">NBSAP-P.14: </t>
        </r>
        <r>
          <rPr>
            <sz val="9"/>
            <color indexed="81"/>
            <rFont val="Tahoma"/>
            <family val="2"/>
          </rPr>
          <t xml:space="preserve">forests on lowlands in South Pyongan Province and north and south
Hwanghae Provinces are very poor in forest stock for serious impact by human. Especially, the ones near populated areas are greatly degraded. As a result, heavy rains due to climate change caused serious soil erosion in mountains and failure in flood mitigation. In this context, it is urgent to recover the forests degraded and also strengthen forest </t>
        </r>
      </text>
    </comment>
    <comment ref="CW54" authorId="1">
      <text>
        <r>
          <rPr>
            <b/>
            <sz val="9"/>
            <color indexed="81"/>
            <rFont val="Tahoma"/>
            <family val="2"/>
          </rPr>
          <t>billy.tsekos:</t>
        </r>
        <r>
          <rPr>
            <sz val="9"/>
            <color indexed="81"/>
            <rFont val="Tahoma"/>
            <family val="2"/>
          </rPr>
          <t xml:space="preserve">
</t>
        </r>
        <r>
          <rPr>
            <b/>
            <sz val="9"/>
            <color indexed="81"/>
            <rFont val="Tahoma"/>
            <family val="2"/>
          </rPr>
          <t>NBSAP-P.92:</t>
        </r>
        <r>
          <rPr>
            <sz val="9"/>
            <color indexed="81"/>
            <rFont val="Tahoma"/>
            <family val="2"/>
          </rPr>
          <t xml:space="preserve">Among the protected areas of DPR Korea, the priority is given to 10 reserves and nature parks of, inter alia, forest ecosystem. </t>
        </r>
      </text>
    </comment>
    <comment ref="ER54" authorId="5">
      <text>
        <r>
          <rPr>
            <sz val="11"/>
            <color theme="1"/>
            <rFont val="Calibri"/>
            <family val="2"/>
            <scheme val="minor"/>
          </rPr>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r>
      </text>
    </comment>
    <comment ref="ET54" authorId="5">
      <text>
        <r>
          <rPr>
            <sz val="11"/>
            <color theme="1"/>
            <rFont val="Calibri"/>
            <family val="2"/>
            <scheme val="minor"/>
          </rPr>
          <t>pag. 60 ----&gt; contribucion a las metas</t>
        </r>
      </text>
    </comment>
    <comment ref="ER55" authorId="0">
      <text>
        <r>
          <rPr>
            <sz val="9"/>
            <color indexed="81"/>
            <rFont val="Tahoma"/>
            <family val="2"/>
          </rPr>
          <t xml:space="preserve">Meta Nacional 5: Para el 2016 se habrá reducido en un 25% el ritmo de pérdida de los hábitats naturales y la degradación y fragmentación han sido reducidas. </t>
        </r>
      </text>
    </comment>
    <comment ref="ET55" authorId="0">
      <text>
        <r>
          <rPr>
            <sz val="9"/>
            <color indexed="81"/>
            <rFont val="Tahoma"/>
            <family val="2"/>
          </rPr>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r>
      </text>
    </comment>
    <comment ref="EU55" authorId="5">
      <text>
        <r>
          <rPr>
            <sz val="11"/>
            <color theme="1"/>
            <rFont val="Calibri"/>
            <family val="2"/>
            <scheme val="minor"/>
          </rPr>
          <t>pag 52 ---&gt; Aumentar la superficie boscosa. En relación a la cobertura boscosa, la República
Dominicana estableció como meta aumentarla del 33 al 35%, para el 2015 (MEPYD,
2010). Para el 2012 ya se había alcanzado el 39.2%, habiéndose superado la meta
cuatro años antes. La precaución que debe tomarse en cuenta es sobre el tipo de
vegetación que ha contribuido a este importante incremento. Pudiera ser que este
se deba mayormente a los grandes esfuerzos de reforestación llevados a cabo por el
Gobierno Dominicano, pero no toma en cuenta la pérdida de bosques naturales, de
mucha mayor importancia para la biodiversidad, y la cual parece estar aumentando.
Además, un alto porcentaje de esa cobertura se debe a especies exóticas invasoras
altamente agresivas. Es importante señalar que el país está ejecutando un programa
de restauración ambiental, que se ha iniciado en más de 40 áreas públicas,
principalmente humedales.</t>
        </r>
      </text>
    </comment>
    <comment ref="BA56" authorId="0">
      <text>
        <r>
          <rPr>
            <sz val="9"/>
            <color indexed="81"/>
            <rFont val="Tahoma"/>
            <family val="2"/>
          </rPr>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r>
      </text>
    </comment>
    <comment ref="ER56" authorId="0">
      <text>
        <r>
          <rPr>
            <sz val="11"/>
            <color theme="1"/>
            <rFont val="Calibri"/>
            <family val="2"/>
            <scheme val="minor"/>
          </rPr>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r>
      </text>
    </comment>
    <comment ref="ET56" authorId="5">
      <text>
        <r>
          <rPr>
            <sz val="11"/>
            <color theme="1"/>
            <rFont val="Calibri"/>
            <family val="2"/>
            <scheme val="minor"/>
          </rPr>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ER57" authorId="5">
      <text>
        <r>
          <rPr>
            <sz val="11"/>
            <color theme="1"/>
            <rFont val="Calibri"/>
            <family val="2"/>
            <scheme val="minor"/>
          </rPr>
          <t>Resultado 7. Ecuador ha reducido al menos en un 30% las
tasas de pérdida, fragmentación y degradación de los hábitats
naturales, en relación a la línea base del 2013.
Nivel de progreso: ALTO</t>
        </r>
      </text>
    </comment>
    <comment ref="ET57" authorId="0">
      <text>
        <r>
          <rPr>
            <b/>
            <sz val="9"/>
            <color indexed="81"/>
            <rFont val="Tahoma"/>
            <family val="2"/>
          </rPr>
          <t>Resultado 16. Ecuador recupera hábitats degradados con
el fin de mitigar el cambio climático, y proporcionar bienes y
servicios ecosistémicos esenciales para el cambio de la matriz
productiva y el bienestar de la población.</t>
        </r>
      </text>
    </comment>
    <comment ref="BA58" authorId="0">
      <text>
        <r>
          <rPr>
            <sz val="9"/>
            <color indexed="81"/>
            <rFont val="Tahoma"/>
            <family val="2"/>
          </rPr>
          <t>NI</t>
        </r>
      </text>
    </comment>
    <comment ref="BI58" authorId="0">
      <text>
        <r>
          <rPr>
            <sz val="9"/>
            <color indexed="81"/>
            <rFont val="Tahoma"/>
            <family val="2"/>
          </rPr>
          <t>NBSAP - p.52 - Ecosystem resilience and the contribution of biodiversity to carbon stock have been enhanced, through conservation and restoration, including restoration of at least 15% of degraded ecosystems</t>
        </r>
      </text>
    </comment>
    <comment ref="ER58" authorId="0">
      <text>
        <r>
          <rPr>
            <b/>
            <sz val="9"/>
            <color indexed="81"/>
            <rFont val="Tahoma"/>
            <family val="2"/>
          </rPr>
          <t xml:space="preserve">doesnt match - no target on habitat loss reduction found
Meta 9. </t>
        </r>
        <r>
          <rPr>
            <sz val="9"/>
            <color indexed="81"/>
            <rFont val="Tahoma"/>
            <family val="2"/>
          </rPr>
          <t>Para el 2020, se habrán identificado las principales amenazas y se habrán establecido medidas para la conservación del mangle, arrecifes de coral y especies asociadas en el Caribe y Pacífico Nicaragüense.</t>
        </r>
      </text>
    </comment>
    <comment ref="ET58" authorId="0">
      <text>
        <r>
          <rPr>
            <b/>
            <sz val="9"/>
            <color indexed="81"/>
            <rFont val="Tahoma"/>
            <family val="2"/>
          </rPr>
          <t xml:space="preserve">Meta 4 </t>
        </r>
        <r>
          <rPr>
            <sz val="9"/>
            <color indexed="81"/>
            <rFont val="Tahoma"/>
            <family val="2"/>
          </rPr>
          <t xml:space="preserve">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t>
        </r>
        <r>
          <rPr>
            <b/>
            <sz val="9"/>
            <color indexed="81"/>
            <rFont val="Tahoma"/>
            <family val="2"/>
          </rPr>
          <t xml:space="preserve">Meta 11. </t>
        </r>
        <r>
          <rPr>
            <sz val="9"/>
            <color indexed="81"/>
            <rFont val="Tahoma"/>
            <family val="2"/>
          </rPr>
          <t xml:space="preserve">Para el 2020, mediante regeneración natural y reforestación se garantizará la recuperación de dos de los ecosistemas más amenazados: El Bosque seco del pacífico y el bosque de mangle.
</t>
        </r>
        <r>
          <rPr>
            <b/>
            <sz val="9"/>
            <color indexed="81"/>
            <rFont val="Tahoma"/>
            <family val="2"/>
          </rPr>
          <t>Meta 14</t>
        </r>
        <r>
          <rPr>
            <sz val="9"/>
            <color indexed="81"/>
            <rFont val="Tahoma"/>
            <family val="2"/>
          </rPr>
          <t>.Para el 2020, se habrá promovido la gestión integrada de cuencas hidrográficas en cuencas de importancia nacional, con el fin de garantizar el abastecimiento de agua a las poblaciones, el uso productivo y la recuperación de especies de flora y fauna amenazadas.</t>
        </r>
      </text>
    </comment>
    <comment ref="Z59" authorId="0">
      <text>
        <r>
          <rPr>
            <sz val="9"/>
            <color indexed="81"/>
            <rFont val="Tahoma"/>
            <family val="2"/>
          </rPr>
          <t>pg 15
Cobertura boscosa y su extensión en la República Dominicana (1996, 2003, 2012)
breakdown with many forest types</t>
        </r>
      </text>
    </comment>
    <comment ref="AH59" authorId="5">
      <text>
        <r>
          <rPr>
            <sz val="11"/>
            <color theme="1"/>
            <rFont val="Calibri"/>
            <family val="2"/>
            <scheme val="minor"/>
          </rPr>
          <t>pg 15
Cobertura boscosa y su extensión en la República Dominicana (1996, 2003, 2012)
breakdown with many forest types</t>
        </r>
      </text>
    </comment>
    <comment ref="AO59" authorId="5">
      <text>
        <r>
          <rPr>
            <sz val="11"/>
            <color theme="1"/>
            <rFont val="Calibri"/>
            <family val="2"/>
            <scheme val="minor"/>
          </rPr>
          <t>pag 18 and 25</t>
        </r>
      </text>
    </comment>
    <comment ref="AV59" authorId="5">
      <text>
        <r>
          <rPr>
            <sz val="11"/>
            <color theme="1"/>
            <rFont val="Calibri"/>
            <family val="2"/>
            <scheme val="minor"/>
          </rPr>
          <t>pag 18 and 25</t>
        </r>
      </text>
    </comment>
    <comment ref="BA59" authorId="0">
      <text>
        <r>
          <rPr>
            <sz val="9"/>
            <color indexed="81"/>
            <rFont val="Tahoma"/>
            <family val="2"/>
          </rPr>
          <t xml:space="preserve">Meta Nacional 5: Para el 2016 se habrá reducido en un 25% el ritmo de pérdida de los hábitats naturales y la degradación y fragmentación han sido reducidas. </t>
        </r>
      </text>
    </comment>
    <comment ref="BC59" authorId="0">
      <text>
        <r>
          <rPr>
            <b/>
            <sz val="9"/>
            <color indexed="81"/>
            <rFont val="Tahoma"/>
            <family val="2"/>
          </rPr>
          <t xml:space="preserve">25%
</t>
        </r>
      </text>
    </comment>
    <comment ref="BD59" authorId="0">
      <text>
        <r>
          <rPr>
            <b/>
            <sz val="9"/>
            <color indexed="81"/>
            <rFont val="Tahoma"/>
            <family val="2"/>
          </rPr>
          <t xml:space="preserve">2025
</t>
        </r>
      </text>
    </comment>
    <comment ref="BI59" authorId="0">
      <text>
        <r>
          <rPr>
            <sz val="9"/>
            <color indexed="81"/>
            <rFont val="Tahoma"/>
            <family val="2"/>
          </rPr>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r>
      </text>
    </comment>
    <comment ref="BP59" authorId="5">
      <text>
        <r>
          <rPr>
            <sz val="11"/>
            <color theme="1"/>
            <rFont val="Calibri"/>
            <family val="2"/>
            <scheme val="minor"/>
          </rPr>
          <t>pag 52</t>
        </r>
      </text>
    </comment>
    <comment ref="BT59" authorId="5">
      <text>
        <r>
          <rPr>
            <sz val="11"/>
            <color theme="1"/>
            <rFont val="Calibri"/>
            <family val="2"/>
            <scheme val="minor"/>
          </rPr>
          <t>pag 52 ---&gt; Aumentar la superficie boscosa. En relación a la cobertura boscosa, la República
Dominicana estableció como meta aumentarla del 33 al 35%, para el 2015 (MEPYD,
2010). Para el 2012 ya se había alcanzado el 39.2%, habiéndose superado la meta
cuatro años antes. La precaución que debe tomarse en cuenta es sobre el tipo de
vegetación que ha contribuido a este importante incremento. Pudiera ser que este
se deba mayormente a los grandes esfuerzos de reforestación llevados a cabo por el
Gobierno Dominicano, pero no toma en cuenta la pérdida de bosques naturales, de
mucha mayor importancia para la biodiversidad, y la cual parece estar aumentando.
Además, un alto porcentaje de esa cobertura se debe a especies exóticas invasoras
altamente agresivas. Es importante señalar que el país está ejecutando un programa
de restauración ambiental, que se ha iniciado en más de 40 áreas públicas,
principalmente humedales.</t>
        </r>
      </text>
    </comment>
    <comment ref="BX59" authorId="5">
      <text>
        <r>
          <rPr>
            <sz val="11"/>
            <color theme="1"/>
            <rFont val="Calibri"/>
            <family val="2"/>
            <scheme val="minor"/>
          </rPr>
          <t>pag 25 and forth</t>
        </r>
      </text>
    </comment>
    <comment ref="CC59" authorId="5">
      <text>
        <r>
          <rPr>
            <sz val="11"/>
            <color theme="1"/>
            <rFont val="Calibri"/>
            <family val="2"/>
            <scheme val="minor"/>
          </rPr>
          <t>Pag 41 ----&gt; ``...Para la preparación de la ENBPA se hizo una revisión de las amenazas a la biodiversidad, las cuales en parte ya se habían tratado en el Cuarto Informe, y la
misma aborda cada una de las principales amenazas a los largo de los diferentes
objetivos y metas. Por ejemplo, la Meta 5 global establece la reducción a la mitad y
cuando factible a cero la pérdida y degradación de hábitats naturales. El país, al analizar esta meta global y cómo contribuir a ella, sobre la base de la situación nacional, estableció como su Meta 5 reducir en un 25% el ritmo de pérdida de los hábitats naturales, y su degradación y fragmentación, para el 2016. 
Una de las principales amenazas a la biodiversidad ha estribado en debilidades en la
gestión del Sistema Nacional de Áreas Protegidas (SINAP), mayormente debidas a
falta de recursos financiero y recursos humanos. Por medio de la implementación
del Proyecto Reingeniería del Sistema Nacional de Áreas Protegidas se busca lograr
la sostenibilidad financiera del Sistema Nacional de Áreas Protegidas, el cual es un
proyecto con financiamiento del Fondo Mundial para el Medio Ambiente (FMAM).
Este proyecto trabaja en el fortalecimiento de las principales áreas protegidas,
asegurando que cuenten con planes de manejo actualizados, infraestructura adecuada para su gestión y planes de negocios.
El Programa de Pequeños Subsidios del Fondo para el Medio Ambiente MundialPNUD
financia en este período de tiempo, entre el 2010 y mediados del 2014, 21 pequeños proyectos que contribuyen a dar respuesta a las amenazas contra la biodiversidad identificadas. El monto total a ser ejecutado por estos proyectos es de US673, 725, con un monto individual por proyecto que oscila entre US$12,000 a US$39,000.
Los proyectos, ejecutados en su gran mayoría por organizaciones comunitarias,
abordan el problema del manejo sostenible de bosques, manejo de microcuencas,
apicultura comunitaria, establecimiento de agrosistemas en zonas de
amortiguamiento de áreas protegidas, cultivos orgánicos, cultivos permanentes
como cacao y café, con miras a proteger la biodiversidad y contribuir a desarrollar
medios comunitarios de vida sostenible....``</t>
        </r>
      </text>
    </comment>
    <comment ref="CH59" authorId="0">
      <text>
        <r>
          <rPr>
            <b/>
            <sz val="9"/>
            <color indexed="81"/>
            <rFont val="Tahoma"/>
            <family val="2"/>
          </rPr>
          <t>p18
use of REDD+ driver assessment</t>
        </r>
      </text>
    </comment>
    <comment ref="CK59" authorId="5">
      <text>
        <r>
          <rPr>
            <sz val="11"/>
            <color theme="1"/>
            <rFont val="Calibri"/>
            <family val="2"/>
            <scheme val="minor"/>
          </rPr>
          <t>pag 14 ---&gt;Este año inicia el Inventario Nacional Forestal (2014-215), con el objetivo de medir y evaluar los bosques para obtener su composición, volumen y biomasa.</t>
        </r>
      </text>
    </comment>
    <comment ref="CP59" authorId="5">
      <text>
        <r>
          <rPr>
            <sz val="11"/>
            <color theme="1"/>
            <rFont val="Calibri"/>
            <family val="2"/>
            <scheme val="minor"/>
          </rPr>
          <t>pag 39 --&gt; text of meta 15</t>
        </r>
      </text>
    </comment>
    <comment ref="CQ59" authorId="5">
      <text>
        <r>
          <rPr>
            <sz val="11"/>
            <color theme="1"/>
            <rFont val="Calibri"/>
            <family val="2"/>
            <scheme val="minor"/>
          </rPr>
          <t xml:space="preserve">pag 29 and pag 33
pag 68 fot contribution----&gt; Meta Nacional 10: Para el 2016 , se habrán iden- tificado las presiones principales que operan sobre los arrecifes de coral y otros ecosistemas vulnerables afectados por el cambio climático o la acidificación de los océanos, a fin de imple- mentar acciones para su reducció
</t>
        </r>
      </text>
    </comment>
    <comment ref="CV59" authorId="5">
      <text>
        <r>
          <rPr>
            <sz val="11"/>
            <color theme="1"/>
            <rFont val="Calibri"/>
            <family val="2"/>
            <scheme val="minor"/>
          </rPr>
          <t>pag 71</t>
        </r>
      </text>
    </comment>
    <comment ref="ER59" authorId="0">
      <text>
        <r>
          <rPr>
            <sz val="9"/>
            <color indexed="81"/>
            <rFont val="Tahoma"/>
            <family val="2"/>
          </rPr>
          <t>Meta 7 Para el 2021, se ha reducido en 5% la tasa de degradación de los ecosistemas, con énfasis en ecosistemas forestales y frágiles.</t>
        </r>
      </text>
    </comment>
    <comment ref="Z60" authorId="0">
      <text>
        <r>
          <rPr>
            <b/>
            <sz val="9"/>
            <color indexed="81"/>
            <rFont val="Tahoma"/>
            <family val="2"/>
          </rPr>
          <t>map p31</t>
        </r>
      </text>
    </comment>
    <comment ref="AH60" authorId="5">
      <text>
        <r>
          <rPr>
            <sz val="11"/>
            <color theme="1"/>
            <rFont val="Calibri"/>
            <family val="2"/>
            <scheme val="minor"/>
          </rPr>
          <t>mientras que en 1990 la superficie de cobertura de bosques nativos en el país fue de 14’698.115 ha; en 2000 fue de 13’745.389 ha; en 2008 fue de 13’143.091 ha, y en 2012 fue de 12’879.571 ha. El 99.4% de las áreas deforestadas entre el año 2000 y el 2008, fueron transformadas en áreas agropecuarias (Ministerio del Ambiente, 2013a; Sierra, 2013).
La mayor parte (cerca del 70%) fue deforestada en la década de los años 90, cuando la tasa de deforestación neta promedio anual fue de 129.100 ha. Sin embargo, entre el año 2000 y 2008 esta tasa se redujo a 75.300 ha/año (42% menos que en el período anterior), mientras que entre 2008 y 2012 la
tasa de deforestación fue de 65.880 ha/año (Ministerio del Ambiente, 2013a)</t>
        </r>
      </text>
    </comment>
    <comment ref="AO60" authorId="5">
      <text>
        <r>
          <rPr>
            <sz val="11"/>
            <color theme="1"/>
            <rFont val="Calibri"/>
            <family val="2"/>
            <scheme val="minor"/>
          </rPr>
          <t>pag 59-----&gt;A partir del año 2010 se inició el proyecto Sistema de Contabilidad Ambiental Nacional, que tiene el objetivo de realizar el cálculo del impacto económico del agotamiento y degradación de los recursos naturales. Al momento se ha realizado los
cálculos y se ha inicidado la estructuración de las cuentas para: hidrocarburos, suelo, aire, residuos sólidos, recursos forestales, gastos de protección ambiental y ecosistemas
LINK:http://www.ambiente.gob.ec/pib-verde-sistema-de-contabilidad-ambiental-nacional/</t>
        </r>
      </text>
    </comment>
    <comment ref="AV60" authorId="5">
      <text>
        <r>
          <rPr>
            <sz val="11"/>
            <color theme="1"/>
            <rFont val="Calibri"/>
            <family val="2"/>
            <scheme val="minor"/>
          </rPr>
          <t>Pag. 59 ---&gt; link:http://www.ambiente.gob.ec/pib-verde-sistema-de-contabilidad-ambiental-nacional/</t>
        </r>
      </text>
    </comment>
    <comment ref="BA60" authorId="5">
      <text>
        <r>
          <rPr>
            <sz val="11"/>
            <color theme="1"/>
            <rFont val="Calibri"/>
            <family val="2"/>
            <scheme val="minor"/>
          </rPr>
          <t>Resultado 7. Ecuador ha reducido al menos en un 30% las
tasas de pérdida, fragmentación y degradación de los hábitats
naturales, en relación a la línea base del 2013.
Nivel de progreso: ALTO</t>
        </r>
      </text>
    </comment>
    <comment ref="BC60" authorId="5">
      <text>
        <r>
          <rPr>
            <sz val="11"/>
            <color theme="1"/>
            <rFont val="Calibri"/>
            <family val="2"/>
            <scheme val="minor"/>
          </rPr>
          <t>pag. 39</t>
        </r>
      </text>
    </comment>
    <comment ref="BD60" authorId="5">
      <text>
        <r>
          <rPr>
            <sz val="11"/>
            <color theme="1"/>
            <rFont val="Calibri"/>
            <family val="2"/>
            <scheme val="minor"/>
          </rPr>
          <t>2030
 (pag 51)</t>
        </r>
      </text>
    </comment>
    <comment ref="BE60" authorId="0">
      <text>
        <r>
          <rPr>
            <b/>
            <sz val="9"/>
            <color indexed="81"/>
            <rFont val="Tahoma"/>
            <family val="2"/>
          </rPr>
          <t xml:space="preserve">2013
</t>
        </r>
      </text>
    </comment>
    <comment ref="BI60" authorId="0">
      <text>
        <r>
          <rPr>
            <b/>
            <sz val="9"/>
            <color indexed="81"/>
            <rFont val="Tahoma"/>
            <family val="2"/>
          </rPr>
          <t>Resultado 16. Ecuador recupera hábitats degradados con
el fin de mitigar el cambio climático, y proporcionar bienes y
servicios ecosistémicos esenciales para el cambio de la matriz
productiva y el bienestar de la población.</t>
        </r>
      </text>
    </comment>
    <comment ref="BL60" authorId="5">
      <text>
        <r>
          <rPr>
            <sz val="11"/>
            <color theme="1"/>
            <rFont val="Calibri"/>
            <family val="2"/>
            <scheme val="minor"/>
          </rPr>
          <t>Not in the report, but information might be avaliable ---&gt; pag 89 ---&gt; El MAE lidera las acciones de reducción de emisiones en edificios públicos. Emprendió el proyecto Carbono Neutro desde el mes de Mayo de 2010; la experiencia ha permitido cuantificar las emisiones de gases de efecto invernadero (GEI) que se generan en su edificio central (Quito) como producto de sus actividades como el consumo energético, el uso de automóviles, transporte de funcionarios, vuelos nacionalese internacionales, generación de residuos. El objetivo es alcanzar “cero emisiones de Gases de efecto Invernadero” por lo tanto, se establecieron estrategias de reducción
como: políticas de uso compartido de vehículos, optimización de rutas de recorrido de trabajadores, separación de residuos,
mejora del sistema eléctrico del edificio, instalación de paneles solares, entre otros. A partir de esta experiencia, el programa se ha extendido hacia otras empresas; así, en
septiembre del 2011, las empresas AGRITOP y AIFA dedicadas a la fumigación aérea, junto con el Ministerio del Ambientese convirtieron en las primeras en recibir la certificación carbono neutro por parte de la Universidad EARTH.</t>
        </r>
      </text>
    </comment>
    <comment ref="BX60" authorId="5">
      <text>
        <r>
          <rPr>
            <sz val="11"/>
            <color theme="1"/>
            <rFont val="Calibri"/>
            <family val="2"/>
            <scheme val="minor"/>
          </rPr>
          <t>pag. 39</t>
        </r>
      </text>
    </comment>
    <comment ref="CC60" authorId="5">
      <text>
        <r>
          <rPr>
            <sz val="11"/>
            <color theme="1"/>
            <rFont val="Calibri"/>
            <family val="2"/>
            <scheme val="minor"/>
          </rPr>
          <t>see action plan p 149 and following</t>
        </r>
      </text>
    </comment>
    <comment ref="CH60" authorId="5">
      <text>
        <r>
          <rPr>
            <sz val="11"/>
            <color theme="1"/>
            <rFont val="Calibri"/>
            <family val="2"/>
            <scheme val="minor"/>
          </rPr>
          <t>p. 116 ---&gt; Actualmente se cuenta con el apoyo del gobierno alemán, con un aporte financiero no reembolsable, a través de su Banco de Cooperación KFW de diez millones de euros para la consolidación de la iniciativa socio Bosque y la Estrategia Nacional REDD+, a partir de 2011. Es un reto para los próximos años captar recursos de donación de otras organizaciones y países amigos</t>
        </r>
      </text>
    </comment>
    <comment ref="CQ60" authorId="5">
      <text>
        <r>
          <rPr>
            <sz val="11"/>
            <color theme="1"/>
            <rFont val="Calibri"/>
            <family val="2"/>
            <scheme val="minor"/>
          </rPr>
          <t>pag. 59 ----&gt; Las estrategias de cambio de la matriz productiva y de erradicación de la pobreza evidencian retos a la hora de abordar la conservación de la diversidad biológica y los
servicios ecosistémicos asociados, frente a la priorización de proyectos de desarrollo
de potencial alto impacto. Destaca también en este período, la elaboración de la
Estrategia Nacional de Cambio Climático y el Plan Nacional de Cambo Climático, en
donde se ha priorizado el sector ecosistemas, con medidas concretas orientadas a
mejorar el conocimiento de los efectos del CC sobre los ecosistemas, así como también
acciones de mitigación y adaptación.
There are more references</t>
        </r>
      </text>
    </comment>
    <comment ref="CV60" authorId="5">
      <text>
        <r>
          <rPr>
            <sz val="11"/>
            <color theme="1"/>
            <rFont val="Calibri"/>
            <family val="2"/>
            <scheme val="minor"/>
          </rPr>
          <t xml:space="preserve">p.110 ----&gt; El Programa Nacional de Incentivos a la Conservación y Uso Sostenible del Patrimonio Natural “Socio Bosque” Incentivar actividades de forestación, reforestación
y revegetación con especies nativas en zonas afectadas por procesos de deforestación, degradación, fragmentación, erosión, desertificación, incendios forestales y otras actividades humanas
</t>
        </r>
      </text>
    </comment>
    <comment ref="ER60" authorId="0">
      <text>
        <r>
          <rPr>
            <sz val="9"/>
            <color indexed="81"/>
            <rFont val="Tahoma"/>
            <family val="2"/>
          </rPr>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r>
      </text>
    </comment>
    <comment ref="ET60" authorId="5">
      <text>
        <r>
          <rPr>
            <sz val="11"/>
            <color theme="1"/>
            <rFont val="Calibri"/>
            <family val="2"/>
            <scheme val="minor"/>
          </rPr>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r>
      </text>
    </comment>
    <comment ref="G61" authorId="2">
      <text>
        <r>
          <rPr>
            <b/>
            <sz val="9"/>
            <color indexed="81"/>
            <rFont val="Tahoma"/>
            <family val="2"/>
          </rPr>
          <t>Billy Tsekos:</t>
        </r>
        <r>
          <rPr>
            <sz val="9"/>
            <color indexed="81"/>
            <rFont val="Tahoma"/>
            <family val="2"/>
          </rPr>
          <t xml:space="preserve">
2016</t>
        </r>
      </text>
    </comment>
    <comment ref="Z61" authorId="2">
      <text>
        <r>
          <rPr>
            <b/>
            <sz val="9"/>
            <color indexed="81"/>
            <rFont val="Tahoma"/>
            <family val="2"/>
          </rPr>
          <t>Billy Tsekos:
NR-P.12:</t>
        </r>
        <r>
          <rPr>
            <sz val="9"/>
            <color indexed="81"/>
            <rFont val="Tahoma"/>
            <family val="2"/>
          </rPr>
          <t xml:space="preserve"> The arid desert covers 92% of the country’s surface area, with the remaining 8% of arable land being restricted to the Nile Valley, the Nile Delta and a few oases scattered in the Western Desert. Given the country’s physiography, </t>
        </r>
      </text>
    </comment>
    <comment ref="AH61" authorId="2">
      <text>
        <r>
          <rPr>
            <b/>
            <sz val="9"/>
            <color indexed="81"/>
            <rFont val="Tahoma"/>
            <family val="2"/>
          </rPr>
          <t>Billy Tsekos:</t>
        </r>
        <r>
          <rPr>
            <sz val="9"/>
            <color indexed="81"/>
            <rFont val="Tahoma"/>
            <family val="2"/>
          </rPr>
          <t xml:space="preserve">
</t>
        </r>
        <r>
          <rPr>
            <b/>
            <sz val="9"/>
            <color indexed="81"/>
            <rFont val="Tahoma"/>
            <family val="2"/>
          </rPr>
          <t xml:space="preserve">NR-P.50: </t>
        </r>
        <r>
          <rPr>
            <sz val="9"/>
            <color indexed="81"/>
            <rFont val="Tahoma"/>
            <family val="2"/>
          </rPr>
          <t xml:space="preserve">Changes in Mangrove Area (ha) from 2006 to 2009 </t>
        </r>
        <r>
          <rPr>
            <b/>
            <sz val="9"/>
            <color indexed="81"/>
            <rFont val="Tahoma"/>
            <family val="2"/>
          </rPr>
          <t>(INCREASE)
NR-P.88:</t>
        </r>
        <r>
          <rPr>
            <sz val="9"/>
            <color indexed="81"/>
            <rFont val="Tahoma"/>
            <family val="2"/>
          </rPr>
          <t xml:space="preserve">Changes in Habitat Area due to Land Use Changes in 1988, 2011 and the projected change by 2023 </t>
        </r>
      </text>
    </comment>
    <comment ref="BA61" authorId="2">
      <text>
        <r>
          <rPr>
            <b/>
            <sz val="9"/>
            <color indexed="81"/>
            <rFont val="Tahoma"/>
            <family val="2"/>
          </rPr>
          <t>Billy Tsekos:</t>
        </r>
        <r>
          <rPr>
            <sz val="9"/>
            <color indexed="81"/>
            <rFont val="Tahoma"/>
            <family val="2"/>
          </rPr>
          <t xml:space="preserve">
</t>
        </r>
        <r>
          <rPr>
            <b/>
            <sz val="9"/>
            <color indexed="81"/>
            <rFont val="Tahoma"/>
            <family val="2"/>
          </rPr>
          <t>NBSAP-P.63:</t>
        </r>
        <r>
          <rPr>
            <sz val="9"/>
            <color indexed="81"/>
            <rFont val="Tahoma"/>
            <family val="2"/>
          </rPr>
          <t xml:space="preserve">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t>
        </r>
        <r>
          <rPr>
            <b/>
            <sz val="9"/>
            <color indexed="81"/>
            <rFont val="Tahoma"/>
            <family val="2"/>
          </rPr>
          <t xml:space="preserve">
NBSAP-P.68: </t>
        </r>
        <r>
          <rPr>
            <sz val="9"/>
            <color indexed="81"/>
            <rFont val="Tahoma"/>
            <family val="2"/>
          </rPr>
          <t xml:space="preserve"> By 2021 rate of wetland loss reduced by 25% and water efficiency in irrigation improved by 50%
</t>
        </r>
        <r>
          <rPr>
            <b/>
            <sz val="9"/>
            <color indexed="81"/>
            <rFont val="Tahoma"/>
            <family val="2"/>
          </rPr>
          <t xml:space="preserve">NBSAP-P.70: </t>
        </r>
        <r>
          <rPr>
            <sz val="9"/>
            <color indexed="81"/>
            <rFont val="Tahoma"/>
            <family val="2"/>
          </rPr>
          <t>By 2020, to promote sustainable hunting and harvesting through adequate planning, restoration and protection of key biological resources.</t>
        </r>
      </text>
    </comment>
    <comment ref="BD61" authorId="2">
      <text>
        <r>
          <rPr>
            <b/>
            <sz val="9"/>
            <color indexed="81"/>
            <rFont val="Tahoma"/>
            <family val="2"/>
          </rPr>
          <t>Billy Tsekos:</t>
        </r>
        <r>
          <rPr>
            <sz val="9"/>
            <color indexed="81"/>
            <rFont val="Tahoma"/>
            <family val="2"/>
          </rPr>
          <t xml:space="preserve">
2020</t>
        </r>
      </text>
    </comment>
    <comment ref="BE61" authorId="2">
      <text>
        <r>
          <rPr>
            <b/>
            <sz val="9"/>
            <color indexed="81"/>
            <rFont val="Tahoma"/>
            <family val="2"/>
          </rPr>
          <t>Billy Tsekos:</t>
        </r>
        <r>
          <rPr>
            <sz val="9"/>
            <color indexed="81"/>
            <rFont val="Tahoma"/>
            <family val="2"/>
          </rPr>
          <t xml:space="preserve">
Egyptian baseline for wildlife trade &amp; CMS global database in 2014.
• Illegal wildlife trade regulations developed by the Mininstry of Agriculture and Land Reclamation (MALR) are not enforced</t>
        </r>
      </text>
    </comment>
    <comment ref="BI61" authorId="0">
      <text>
        <r>
          <rPr>
            <b/>
            <sz val="9"/>
            <color indexed="81"/>
            <rFont val="Tahoma"/>
            <family val="2"/>
          </rPr>
          <t xml:space="preserve"> NBSAP-P.70:</t>
        </r>
        <r>
          <rPr>
            <sz val="9"/>
            <color indexed="81"/>
            <rFont val="Tahoma"/>
            <family val="2"/>
          </rPr>
          <t xml:space="preserve"> By 2030, Research and implement measures and strategies to strengthen local-level biodiversity resilience to desertification.
</t>
        </r>
        <r>
          <rPr>
            <b/>
            <sz val="9"/>
            <color indexed="81"/>
            <rFont val="Tahoma"/>
            <family val="2"/>
          </rPr>
          <t xml:space="preserve"> NBSAP-P.71:</t>
        </r>
        <r>
          <rPr>
            <sz val="9"/>
            <color indexed="81"/>
            <rFont val="Tahoma"/>
            <family val="2"/>
          </rPr>
          <t xml:space="preserve"> By 2025, investigate and monitor all the effects of climate change on biodiversity and ecosystem services</t>
        </r>
      </text>
    </comment>
    <comment ref="BL61" authorId="2">
      <text>
        <r>
          <rPr>
            <b/>
            <sz val="9"/>
            <color indexed="81"/>
            <rFont val="Tahoma"/>
            <family val="2"/>
          </rPr>
          <t>Billy Tsekos:</t>
        </r>
        <r>
          <rPr>
            <sz val="9"/>
            <color indexed="81"/>
            <rFont val="Tahoma"/>
            <family val="2"/>
          </rPr>
          <t xml:space="preserve">
Assess the impact of climate change on biodiversity in vulnerable areas and protected areas.
• Conduct a feasibility assessment of the application of international mechanisms, suggested by UNFCCC (e.g. international carbon market), in Egypt.
• Implement Climate Change Capacity Building Phase II.
• Develop mapping of soil degradation and desertification
• Expand desertification control programs focusing on conservation of plant cover, reduction of soil erosion and watershed management</t>
        </r>
      </text>
    </comment>
    <comment ref="BP61" authorId="2">
      <text>
        <r>
          <rPr>
            <b/>
            <sz val="9"/>
            <color indexed="81"/>
            <rFont val="Tahoma"/>
            <family val="2"/>
          </rPr>
          <t>Billy Tsekos:</t>
        </r>
        <r>
          <rPr>
            <sz val="9"/>
            <color indexed="81"/>
            <rFont val="Tahoma"/>
            <family val="2"/>
          </rPr>
          <t xml:space="preserve">
</t>
        </r>
        <r>
          <rPr>
            <b/>
            <sz val="9"/>
            <color indexed="81"/>
            <rFont val="Tahoma"/>
            <family val="2"/>
          </rPr>
          <t xml:space="preserve">NBSAP-P. 68: </t>
        </r>
        <r>
          <rPr>
            <sz val="9"/>
            <color indexed="81"/>
            <rFont val="Tahoma"/>
            <family val="2"/>
          </rPr>
          <t xml:space="preserve">Continue wetland restoration and desertification control programs. 
</t>
        </r>
      </text>
    </comment>
    <comment ref="BX61" authorId="2">
      <text>
        <r>
          <rPr>
            <b/>
            <sz val="9"/>
            <color indexed="81"/>
            <rFont val="Tahoma"/>
            <family val="2"/>
          </rPr>
          <t>Billy Tsekos:</t>
        </r>
        <r>
          <rPr>
            <sz val="9"/>
            <color indexed="81"/>
            <rFont val="Tahoma"/>
            <family val="2"/>
          </rPr>
          <t xml:space="preserve">
</t>
        </r>
        <r>
          <rPr>
            <b/>
            <sz val="9"/>
            <color indexed="81"/>
            <rFont val="Tahoma"/>
            <family val="2"/>
          </rPr>
          <t xml:space="preserve">NBSAP-P.49: </t>
        </r>
        <r>
          <rPr>
            <sz val="9"/>
            <color indexed="81"/>
            <rFont val="Tahoma"/>
            <family val="2"/>
          </rPr>
          <t xml:space="preserve">Threats to wetlands ecosystem: Egypt’s wetlands are subject to a variety of human induced threats that are leading to the degradation of this valuable national resource. Main threat facing Egyptian Northern coastal lakes and their vulnerability to climate change is habitat loss and degradation driven by significant reduction in area as a result of drainage for conversion to other land uses such as agriculture and settlements, abstraction of water for irrigation, coastal erosion, water pollution, over fishing, use of illegal fishing methods, illegal harvesting of fish fry, introduction of alien species, spreading of aquatic plants and the blockage of their connections with the sea. </t>
        </r>
      </text>
    </comment>
    <comment ref="CP61" authorId="2">
      <text>
        <r>
          <rPr>
            <b/>
            <sz val="9"/>
            <color indexed="81"/>
            <rFont val="Tahoma"/>
            <family val="2"/>
          </rPr>
          <t>Billy Tsekos:</t>
        </r>
        <r>
          <rPr>
            <sz val="9"/>
            <color indexed="81"/>
            <rFont val="Tahoma"/>
            <family val="2"/>
          </rPr>
          <t xml:space="preserve">
</t>
        </r>
        <r>
          <rPr>
            <b/>
            <sz val="9"/>
            <color indexed="81"/>
            <rFont val="Tahoma"/>
            <family val="2"/>
          </rPr>
          <t xml:space="preserve">NBSAP-P.70: </t>
        </r>
        <r>
          <rPr>
            <sz val="9"/>
            <color indexed="81"/>
            <rFont val="Tahoma"/>
            <family val="2"/>
          </rPr>
          <t>NATIONAL TARGET 13: By 2030, Research and implement measures and strategies to strengthen local-level biodiversity resilience to desertification.</t>
        </r>
      </text>
    </comment>
    <comment ref="CQ61" authorId="2">
      <text>
        <r>
          <rPr>
            <b/>
            <sz val="9"/>
            <color indexed="81"/>
            <rFont val="Tahoma"/>
            <family val="2"/>
          </rPr>
          <t>Billy Tsekos:</t>
        </r>
        <r>
          <rPr>
            <sz val="9"/>
            <color indexed="81"/>
            <rFont val="Tahoma"/>
            <family val="2"/>
          </rPr>
          <t xml:space="preserve">
</t>
        </r>
        <r>
          <rPr>
            <b/>
            <sz val="9"/>
            <color indexed="81"/>
            <rFont val="Tahoma"/>
            <family val="2"/>
          </rPr>
          <t>NBSAP-P.65;</t>
        </r>
        <r>
          <rPr>
            <sz val="9"/>
            <color indexed="81"/>
            <rFont val="Tahoma"/>
            <family val="2"/>
          </rPr>
          <t xml:space="preserve">NATIONAL TARGET 6: By 2018, apply CBD tools to monitor and control the impact of tourism on biodiversity, in particular in protected areas and vulnerable ecosystems.
</t>
        </r>
        <r>
          <rPr>
            <b/>
            <sz val="9"/>
            <color indexed="81"/>
            <rFont val="Tahoma"/>
            <family val="2"/>
          </rPr>
          <t xml:space="preserve">
NBSAP-P.70; Priority actions:</t>
        </r>
        <r>
          <rPr>
            <sz val="9"/>
            <color indexed="81"/>
            <rFont val="Tahoma"/>
            <family val="2"/>
          </rPr>
          <t xml:space="preserve"> Assess the impact of climate change on biodiversity in vulnerable areas and protected areas. </t>
        </r>
      </text>
    </comment>
    <comment ref="CV61" authorId="2">
      <text>
        <r>
          <rPr>
            <b/>
            <sz val="9"/>
            <color indexed="81"/>
            <rFont val="Tahoma"/>
            <family val="2"/>
          </rPr>
          <t xml:space="preserve">Billy Tsekos:
</t>
        </r>
        <r>
          <rPr>
            <sz val="9"/>
            <color indexed="81"/>
            <rFont val="Tahoma"/>
            <family val="2"/>
          </rPr>
          <t xml:space="preserve">
</t>
        </r>
        <r>
          <rPr>
            <b/>
            <sz val="9"/>
            <color indexed="81"/>
            <rFont val="Tahoma"/>
            <family val="2"/>
          </rPr>
          <t>NR-P.4:</t>
        </r>
        <r>
          <rPr>
            <sz val="9"/>
            <color indexed="81"/>
            <rFont val="Tahoma"/>
            <family val="2"/>
          </rPr>
          <t xml:space="preserve"> </t>
        </r>
        <r>
          <rPr>
            <b/>
            <sz val="9"/>
            <color indexed="81"/>
            <rFont val="Tahoma"/>
            <family val="2"/>
          </rPr>
          <t>Strategic Goal 5:</t>
        </r>
        <r>
          <rPr>
            <sz val="9"/>
            <color indexed="81"/>
            <rFont val="Tahoma"/>
            <family val="2"/>
          </rPr>
          <t xml:space="preserve"> Prepare for climate change and combat desertification:
• T15: By 2020, investigate and monitor all the effects of climate change on biodiversity and ecosystem services. </t>
        </r>
      </text>
    </comment>
    <comment ref="CW61" authorId="2">
      <text>
        <r>
          <rPr>
            <b/>
            <sz val="9"/>
            <color indexed="81"/>
            <rFont val="Tahoma"/>
            <family val="2"/>
          </rPr>
          <t>Billy Tsekos:</t>
        </r>
        <r>
          <rPr>
            <sz val="9"/>
            <color indexed="81"/>
            <rFont val="Tahoma"/>
            <family val="2"/>
          </rPr>
          <t xml:space="preserve">
</t>
        </r>
        <r>
          <rPr>
            <b/>
            <sz val="9"/>
            <color indexed="81"/>
            <rFont val="Tahoma"/>
            <family val="2"/>
          </rPr>
          <t xml:space="preserve">NBSAP-P21: </t>
        </r>
      </text>
    </comment>
    <comment ref="ER61" authorId="0">
      <text>
        <r>
          <rPr>
            <sz val="9"/>
            <color indexed="81"/>
            <rFont val="Tahoma"/>
            <family val="2"/>
          </rPr>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r>
      </text>
    </comment>
    <comment ref="Z62" authorId="5">
      <text>
        <r>
          <rPr>
            <sz val="11"/>
            <color theme="1"/>
            <rFont val="Calibri"/>
            <family val="2"/>
            <scheme val="minor"/>
          </rPr>
          <t>lots of maps through report
stats in the NBSAP</t>
        </r>
      </text>
    </comment>
    <comment ref="AH62" authorId="5">
      <text>
        <r>
          <rPr>
            <sz val="11"/>
            <color theme="1"/>
            <rFont val="Calibri"/>
            <family val="2"/>
            <scheme val="minor"/>
          </rPr>
          <t>p. 22 of the Quinto Informe Nacional
para el Convenio sobre
la Diversidad Biológica
Superficie, porcentajes a nivel nacional y pérdida de cobertura boscosa en el período 2000-2010</t>
        </r>
      </text>
    </comment>
    <comment ref="BA62" authorId="0">
      <text/>
    </comment>
    <comment ref="BD62" authorId="5">
      <text>
        <r>
          <rPr>
            <sz val="11"/>
            <color theme="1"/>
            <rFont val="Calibri"/>
            <family val="2"/>
            <scheme val="minor"/>
          </rPr>
          <t>2020</t>
        </r>
      </text>
    </comment>
    <comment ref="BF62" authorId="5">
      <text>
        <r>
          <rPr>
            <sz val="11"/>
            <color theme="1"/>
            <rFont val="Calibri"/>
            <family val="2"/>
            <scheme val="minor"/>
          </rPr>
          <t>manglares Y ECOSISTEMAS DE PLAYA</t>
        </r>
      </text>
    </comment>
    <comment ref="BI62" authorId="0">
      <text>
        <r>
          <rPr>
            <b/>
            <sz val="9"/>
            <color indexed="81"/>
            <rFont val="Tahoma"/>
            <family val="2"/>
          </rPr>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r>
      </text>
    </comment>
    <comment ref="BL62" authorId="5">
      <text>
        <r>
          <rPr>
            <sz val="11"/>
            <color theme="1"/>
            <rFont val="Calibri"/>
            <family val="2"/>
            <scheme val="minor"/>
          </rPr>
          <t>pag 96 of the CBD Fifth National Report - El Salvador (Spanish version) and forth
and
pag 4 of the CBD Strategy and Action Plan - El Salvador (Spanish version) and forth</t>
        </r>
      </text>
    </comment>
    <comment ref="BP62" authorId="5">
      <text>
        <r>
          <rPr>
            <sz val="11"/>
            <color theme="1"/>
            <rFont val="Calibri"/>
            <family val="2"/>
            <scheme val="minor"/>
          </rPr>
          <t>pag 96 of the CBD Fifth National Report - El Salvador (Spanish version) and forth 
and
pag 4 of the CBD Strategy and Action Plan - El Salvador (Spanish version) and forth</t>
        </r>
      </text>
    </comment>
    <comment ref="BT62" authorId="0">
      <text>
        <r>
          <rPr>
            <b/>
            <sz val="9"/>
            <color indexed="81"/>
            <rFont val="Tahoma"/>
            <family val="2"/>
          </rPr>
          <t xml:space="preserve">15% by 2022
</t>
        </r>
      </text>
    </comment>
    <comment ref="BX62" authorId="5">
      <text>
        <r>
          <rPr>
            <sz val="11"/>
            <color theme="1"/>
            <rFont val="Calibri"/>
            <family val="2"/>
            <scheme val="minor"/>
          </rPr>
          <t xml:space="preserve">pag. 27 of the CBD Fifth National Report - El Salvador (Spanish version) and forth ----&gt;
En forma general, las causas principales del cambio de uso del suelo y la deforestación en
El Salvador son complejas y varían de una zona a otra, pero un análisis preliminar indica
que –hoy en día- las principales causas de la deforestación y la degradación de los bosques
y suelos en El Salvador son atribuidas a: la expansión de las actividades agrícolas y
aplicación de prácticas no sostenibles; el crecimiento urbano y construcción de
infraestructura; la producción ganadera; la extracción de leña y madera, los incendios
forestales y quemas agrícolas y, en el caso de los manglares la tala ilegal y extracción de
leña y madera para viviendas, actividades agrícolas y ganaderas, así como al
establecimiento de salineras y pequeñas camaroneras.
</t>
        </r>
      </text>
    </comment>
    <comment ref="CC62" authorId="5">
      <text>
        <r>
          <rPr>
            <sz val="11"/>
            <color theme="1"/>
            <rFont val="Calibri"/>
            <family val="2"/>
            <scheme val="minor"/>
          </rPr>
          <t xml:space="preserve">pag 4 and forth of the CBD Strategy and Action Plan - El Salvador (Spanish version)
</t>
        </r>
      </text>
    </comment>
    <comment ref="CH62" authorId="5">
      <text>
        <r>
          <rPr>
            <sz val="11"/>
            <color theme="1"/>
            <rFont val="Calibri"/>
            <family val="2"/>
            <scheme val="minor"/>
          </rPr>
          <t xml:space="preserve">P.93 de Quinto Informe Nacional para el Convenio sobre la Diversidad Biológica
---&gt;El Salvador es el primer país en el mundo que impulsa un enfoque innovador para ejecutar el Programa REDD+, que ha sido denominado Mitigación basada en la Adaptación REDD+ MbA. Bajo la Estrategia Nacional REDD+ MbA se apuesta a la adaptación, como meta principal para reducir los impactos adversos del cambio climático, a través de una restauración del paisaje a gran escala que permitirá también obtener beneficios significativos de mitigación. </t>
        </r>
      </text>
    </comment>
    <comment ref="CP62" authorId="0">
      <text>
        <r>
          <rPr>
            <b/>
            <sz val="9"/>
            <color indexed="81"/>
            <rFont val="Tahoma"/>
            <family val="2"/>
          </rPr>
          <t>PREP como instrumento de planificación de Biodiversidad en sinergia con el Cambio Climático. La ENB 2013 aborda la importancia de la diversidad genética en la construcción de resiliencia ecosistémica ante el Cambio Climático, la ENB 2013 incluye los temas de la restauración de ecosistemas críticos, recuperación de la conectividad y establecimiento de corredores ecológicos como mecanismos para la adaptación al Cambio Climático.</t>
        </r>
      </text>
    </comment>
    <comment ref="CQ62" authorId="5">
      <text>
        <r>
          <rPr>
            <sz val="11"/>
            <color theme="1"/>
            <rFont val="Calibri"/>
            <family val="2"/>
            <scheme val="minor"/>
          </rPr>
          <t>pag 34-35 of the CBD Fifth National Report - El Salvador (Spanish version)</t>
        </r>
      </text>
    </comment>
    <comment ref="ER63" authorId="0">
      <text>
        <r>
          <rPr>
            <b/>
            <sz val="9"/>
            <color indexed="81"/>
            <rFont val="Tahoma"/>
            <family val="2"/>
          </rPr>
          <t>Coertura forestal incrementada?</t>
        </r>
      </text>
    </comment>
    <comment ref="ET63" authorId="0">
      <text>
        <r>
          <rPr>
            <b/>
            <sz val="9"/>
            <color indexed="81"/>
            <rFont val="Tahoma"/>
            <family val="2"/>
          </rPr>
          <t>cobertura florestal incrementada?</t>
        </r>
        <r>
          <rPr>
            <sz val="9"/>
            <color indexed="81"/>
            <rFont val="Tahoma"/>
            <family val="2"/>
          </rPr>
          <t xml:space="preserve">
La Agenda 2025 establece el incremento anual de la cobertura forestal mediante un árbol por cada
boliviana y boliviano, en alusión a la deforestación que se constituye en uno de los mayores retos para
la conservación de la diversidad biológica del país.</t>
        </r>
      </text>
    </comment>
    <comment ref="EU63" authorId="0">
      <text>
        <r>
          <rPr>
            <b/>
            <sz val="9"/>
            <color indexed="81"/>
            <rFont val="Tahoma"/>
            <family val="2"/>
          </rPr>
          <t xml:space="preserve">467 hectáreas
</t>
        </r>
        <r>
          <rPr>
            <sz val="9"/>
            <color indexed="81"/>
            <rFont val="Tahoma"/>
            <family val="2"/>
          </rPr>
          <t>Se aprueba el Plan Nacional de Forestación y Reforestación el 2010,
es ejecutado por el Ministerio de Medio Ambiente y Agua
(MMAyA) junto a sus unidades desconcentradas como el Fondo
Nacional de Desarrollo Forestal (FONABOSQUE), la Entidad
Ejecutora de Medio Ambiente y Agua (EMAGUA) y el programa
Sustentar.
- En el marco de dicho Plan, se tienen 5 sub proyectos de lantaciones
forestales a nivel nacional, que alcanzan los 294.366 plantines
representando 467 hectáreas, con una inversión de 211.700 USD.
Adicionalmente, se contribuye a la Madre Tierra con la
implementación de 40 viveros forestales que generan 216 empleos
directos y 293 empleos indirectos.
―El Plan Nacional de Forestación y Reforestación
Resultado de la ejecución del plan se tiene 10 millones de plantines reforestados en áreas degradadas y susceptibles a degradarse, en 75 municipios de los nueve departamentos del país. En este proceso se capacitaron a 21 mil personas.</t>
        </r>
      </text>
    </comment>
    <comment ref="BA64" authorId="0">
      <text>
        <r>
          <rPr>
            <sz val="9"/>
            <color indexed="81"/>
            <rFont val="Tahoma"/>
            <family val="2"/>
          </rPr>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r>
      </text>
    </comment>
    <comment ref="BA65" authorId="0">
      <text>
        <r>
          <rPr>
            <sz val="9"/>
            <color indexed="81"/>
            <rFont val="Tahoma"/>
            <family val="2"/>
          </rPr>
          <t xml:space="preserve">Measure 2.2. Ensuring the favourable conservation status of habitats
Measure 2.3. Ensuring landscape diversity. 
Measure 2.4. Conservation management of natural objects. 
</t>
        </r>
      </text>
    </comment>
    <comment ref="EU65" authorId="0">
      <text>
        <r>
          <rPr>
            <b/>
            <sz val="9"/>
            <color indexed="81"/>
            <rFont val="Tahoma"/>
            <family val="2"/>
          </rPr>
          <t>3. Del análisis realizado al cierre de la dinámica forestal en 2003 y 2007, en cuanto a la diversidad de
especies utilizadas en la reforestación, (Linares et al., 200546 y Linares et al., inédito47) se hicieron las
siguientes recomendaciones:
a. Urge incluir en los planes de reforestación, aunque sea a pequeña escala, una mayor cantidad de
las especies declaradas como protegidas en la Ley Forestal de forma tal que todas estén
reflejadas en los balances nacionales de plantaciones establecidas, priorizando su empleo en las
áreas dedicadas a la protección y a la conservación
b. Resulta conveniente disminuir el establecimiento de plantaciones de Pino macho (Pinus
caribaea var. Caribaea) en las cuatro provincias más orientales del país, así como establecer una
estrategia que a mediano plazo permita sustituir esta especie por los pinos propios de esa región,
tanto por razones fitosanitarias como para la protección de la biodiversidad y del fondo genético
del Pino de la Maestra (Pinus maestrensis) y del Pino de Mayarí (Pinus cubensis).
c. El sostenido aumento de las plantaciones de ipil-ipil (Leucaena sp.) constituye un peligro
potencial para la conservación de la diversidad arbórea forestal y para la materialización de
algunos de los objetivos productivos previstos en los Programas de Desarrollo hasta el 2015, por
lo que debe ser objeto de especial control y regulación.
d. Las reducciones de las plantaciones de mangle rojo (Rizophora mangle) en Camagüey y Sancti
Spíritus constituyen una amenaza potencial a la sostenibilidad de los ecosistemas costeros y de
la formación manglar, siendo preciso identificar y erradicar sus causas.</t>
        </r>
      </text>
    </comment>
    <comment ref="BA66" authorId="0">
      <text>
        <r>
          <rPr>
            <sz val="9"/>
            <color indexed="81"/>
            <rFont val="Tahoma"/>
            <family val="2"/>
          </rPr>
          <t xml:space="preserve">
</t>
        </r>
      </text>
    </comment>
    <comment ref="ER66" authorId="5">
      <text>
        <r>
          <rPr>
            <sz val="11"/>
            <color theme="1"/>
            <rFont val="Calibri"/>
            <family val="2"/>
            <scheme val="minor"/>
          </rPr>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r>
      </text>
    </comment>
    <comment ref="BA67" authorId="0">
      <text>
        <r>
          <rPr>
            <sz val="9"/>
            <color indexed="81"/>
            <rFont val="Tahoma"/>
            <family val="2"/>
          </rPr>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r>
      </text>
    </comment>
    <comment ref="BI67" authorId="0">
      <text>
        <r>
          <rPr>
            <sz val="9"/>
            <color indexed="81"/>
            <rFont val="Tahoma"/>
            <family val="2"/>
          </rPr>
          <t>(P.41) Target 2: Maintain and restore ecosystems and their services By 2020, ecosystems and their services are maintained and enhanced by establishing green infrastructure and restoring at least 15% of degraded ecosystems</t>
        </r>
      </text>
    </comment>
    <comment ref="ER68" authorId="0">
      <text>
        <r>
          <rPr>
            <sz val="9"/>
            <color indexed="8"/>
            <rFont val="Tahoma"/>
            <family val="2"/>
          </rPr>
          <t>Afghanistan preliminary target 5: rate of loss and degradation of natural habitats decreased</t>
        </r>
      </text>
    </comment>
    <comment ref="BA69" authorId="0">
      <text>
        <r>
          <rPr>
            <sz val="9"/>
            <color indexed="81"/>
            <rFont val="Tahoma"/>
            <family val="2"/>
          </rPr>
          <t xml:space="preserve">Target 5. The loss of all natural habitats has been halted, and the degradation and fragmentation of natural habitats have been significantly reduced.
</t>
        </r>
      </text>
    </comment>
    <comment ref="BI69" authorId="0">
      <text>
        <r>
          <rPr>
            <sz val="9"/>
            <color indexed="81"/>
            <rFont val="Tahoma"/>
            <family val="2"/>
          </rPr>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r>
      </text>
    </comment>
    <comment ref="ER69" authorId="0">
      <text>
        <r>
          <rPr>
            <sz val="9"/>
            <color indexed="81"/>
            <rFont val="Tahoma"/>
            <family val="2"/>
          </rPr>
          <t>NI</t>
        </r>
      </text>
    </comment>
    <comment ref="Z70" authorId="2">
      <text>
        <r>
          <rPr>
            <b/>
            <sz val="9"/>
            <color indexed="81"/>
            <rFont val="Tahoma"/>
            <family val="2"/>
          </rPr>
          <t>Billy Tsekos:</t>
        </r>
        <r>
          <rPr>
            <sz val="9"/>
            <color indexed="81"/>
            <rFont val="Tahoma"/>
            <family val="2"/>
          </rPr>
          <t xml:space="preserve">
</t>
        </r>
        <r>
          <rPr>
            <b/>
            <sz val="9"/>
            <color indexed="81"/>
            <rFont val="Tahoma"/>
            <family val="2"/>
          </rPr>
          <t>NR-P.9</t>
        </r>
        <r>
          <rPr>
            <sz val="9"/>
            <color indexed="81"/>
            <rFont val="Tahoma"/>
            <family val="2"/>
          </rPr>
          <t>: Forest ecosystems cover about 38.5 % (988835 ha) of the country’s land surface and 44% is agricultural land (1120000 ha). About 90 % of the forests are state-owned. Regarding the forest types dominant are deciduous forests (22.3%), followed by the mixed forests (11.6) while the coniferous (2.8%) are least present. Balkan endemic species Macedonian Pine or Molika(Pinus peuce) forms large forest stands (app. 1.800 ha)in Pelister National Park.</t>
        </r>
      </text>
    </comment>
    <comment ref="BA70" authorId="2">
      <text>
        <r>
          <rPr>
            <b/>
            <sz val="9"/>
            <color indexed="81"/>
            <rFont val="Tahoma"/>
            <family val="2"/>
          </rPr>
          <t xml:space="preserve">Billy Tsekos:
NR-P.47: </t>
        </r>
        <r>
          <rPr>
            <sz val="9"/>
            <color indexed="81"/>
            <rFont val="Tahoma"/>
            <family val="2"/>
          </rPr>
          <t xml:space="preserve">
Target 9. To prevent the loss, degradation and fragmentation of natural habitats of national andEuropean importance</t>
        </r>
      </text>
    </comment>
    <comment ref="BI70" authorId="2">
      <text>
        <r>
          <rPr>
            <b/>
            <sz val="9"/>
            <color indexed="81"/>
            <rFont val="Tahoma"/>
            <family val="2"/>
          </rPr>
          <t>Billy Tsekos:
NR-P.47</t>
        </r>
        <r>
          <rPr>
            <sz val="9"/>
            <color indexed="81"/>
            <rFont val="Tahoma"/>
            <family val="2"/>
          </rPr>
          <t xml:space="preserve">
TARGET 8. To integrate measures for adaptation and mitigation of climate change and combating
desertification</t>
        </r>
      </text>
    </comment>
    <comment ref="BP70" authorId="2">
      <text>
        <r>
          <rPr>
            <b/>
            <sz val="9"/>
            <color indexed="81"/>
            <rFont val="Tahoma"/>
            <family val="2"/>
          </rPr>
          <t>Billy Tsekos:</t>
        </r>
        <r>
          <rPr>
            <sz val="9"/>
            <color indexed="81"/>
            <rFont val="Tahoma"/>
            <family val="2"/>
          </rPr>
          <t xml:space="preserve">
</t>
        </r>
        <r>
          <rPr>
            <b/>
            <sz val="9"/>
            <color indexed="81"/>
            <rFont val="Tahoma"/>
            <family val="2"/>
          </rPr>
          <t xml:space="preserve">NR-P 77: </t>
        </r>
        <r>
          <rPr>
            <sz val="9"/>
            <color indexed="81"/>
            <rFont val="Tahoma"/>
            <family val="2"/>
          </rPr>
          <t xml:space="preserve">In May 2013, MEPP signed the Joint Declaration of Intent for the European Green Belt, thus sharing joint view of the importance of the transboundary cooperation for the preservation, restoration and sustainable development of the European Green Belt. </t>
        </r>
      </text>
    </comment>
    <comment ref="BT70" authorId="2">
      <text>
        <r>
          <rPr>
            <b/>
            <sz val="9"/>
            <color indexed="81"/>
            <rFont val="Tahoma"/>
            <family val="2"/>
          </rPr>
          <t>Billy Tsekos:</t>
        </r>
        <r>
          <rPr>
            <sz val="9"/>
            <color indexed="81"/>
            <rFont val="Tahoma"/>
            <family val="2"/>
          </rPr>
          <t xml:space="preserve">
</t>
        </r>
        <r>
          <rPr>
            <b/>
            <sz val="9"/>
            <color indexed="81"/>
            <rFont val="Tahoma"/>
            <family val="2"/>
          </rPr>
          <t>NR-P.68:</t>
        </r>
        <r>
          <rPr>
            <sz val="9"/>
            <color indexed="81"/>
            <rFont val="Tahoma"/>
            <family val="2"/>
          </rPr>
          <t xml:space="preserve"> National Ecological Network (MAK-NEN)</t>
        </r>
      </text>
    </comment>
    <comment ref="BX7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Grassland ecosystems occupy a large part of the country, occurring often as secondary habitats primarily caused by the permanent degradation of forest phytocenoses and re-colonization of abandoned farmland by grassland species.</t>
        </r>
      </text>
    </comment>
    <comment ref="CC70" authorId="2">
      <text>
        <r>
          <rPr>
            <b/>
            <sz val="9"/>
            <color indexed="81"/>
            <rFont val="Tahoma"/>
            <family val="2"/>
          </rPr>
          <t>Billy Tsekos:</t>
        </r>
        <r>
          <rPr>
            <sz val="9"/>
            <color indexed="81"/>
            <rFont val="Tahoma"/>
            <family val="2"/>
          </rPr>
          <t xml:space="preserve">
</t>
        </r>
        <r>
          <rPr>
            <b/>
            <sz val="9"/>
            <color indexed="81"/>
            <rFont val="Tahoma"/>
            <family val="2"/>
          </rPr>
          <t xml:space="preserve">NR-P.94: </t>
        </r>
        <r>
          <rPr>
            <sz val="9"/>
            <color indexed="81"/>
            <rFont val="Tahoma"/>
            <family val="2"/>
          </rPr>
          <t>The Law on Nature Protection stipulates the obligation for application of environmental impact assessment of measures and activities envisaged in different development strategic, programme and planning documents that could have impact on nature (Article 15) and activities planned in nature which during their implementation might independently, or in joint action with other activities disturb the natural balance (Article 18) in order to avoid or minimize the degradation of the nature. These activities are carried out in accordance with the provisions of the Law on Environment. The procedures are especially important to prevent fragmentation of habitats while implementing projects for construction of roads, dams, airports, etc. Depending on the anticipated or caused degradation of nature, as well as on the possibility for compensation thereof, compensatory measures shall are prescribed (Article 19), i.e. activities by which nature degradation is compensated for or mitigated.</t>
        </r>
      </text>
    </comment>
    <comment ref="CQ70" authorId="2">
      <text>
        <r>
          <rPr>
            <b/>
            <sz val="9"/>
            <color indexed="81"/>
            <rFont val="Tahoma"/>
            <family val="2"/>
          </rPr>
          <t>Billy Tsekos:</t>
        </r>
        <r>
          <rPr>
            <sz val="9"/>
            <color indexed="81"/>
            <rFont val="Tahoma"/>
            <family val="2"/>
          </rPr>
          <t xml:space="preserve">
</t>
        </r>
        <r>
          <rPr>
            <b/>
            <sz val="9"/>
            <color indexed="81"/>
            <rFont val="Tahoma"/>
            <family val="2"/>
          </rPr>
          <t xml:space="preserve">NR-P.42: </t>
        </r>
        <r>
          <rPr>
            <sz val="9"/>
            <color indexed="81"/>
            <rFont val="Tahoma"/>
            <family val="2"/>
          </rPr>
          <t xml:space="preserve">Action Plans for adaptation to climate change are integral parts of the three national communications (MEPP 2003, 2008, 2014). The Third National Communication (MEPP 2014), however, has concluded that these activities are implemented only in part.
</t>
        </r>
        <r>
          <rPr>
            <b/>
            <sz val="9"/>
            <color indexed="81"/>
            <rFont val="Tahoma"/>
            <family val="2"/>
          </rPr>
          <t xml:space="preserve">NR-P.42: </t>
        </r>
        <r>
          <rPr>
            <sz val="9"/>
            <color indexed="81"/>
            <rFont val="Tahoma"/>
            <family val="2"/>
          </rPr>
          <t>Figure 10. Map of the areas in the Republic of Macedonia that are sensitive to climate change (Source: GEF/UNDP/MEPP Project on protected areas, Report – second part, 2010)</t>
        </r>
      </text>
    </comment>
    <comment ref="CV70" authorId="2">
      <text>
        <r>
          <rPr>
            <b/>
            <sz val="9"/>
            <color indexed="81"/>
            <rFont val="Tahoma"/>
            <family val="2"/>
          </rPr>
          <t xml:space="preserve">Billy Tsekos:
NR-P.47: </t>
        </r>
        <r>
          <rPr>
            <sz val="9"/>
            <color indexed="81"/>
            <rFont val="Tahoma"/>
            <family val="2"/>
          </rPr>
          <t xml:space="preserve">
</t>
        </r>
        <r>
          <rPr>
            <b/>
            <sz val="9"/>
            <color indexed="81"/>
            <rFont val="Tahoma"/>
            <family val="2"/>
          </rPr>
          <t>Target B.8.</t>
        </r>
        <r>
          <rPr>
            <sz val="9"/>
            <color indexed="81"/>
            <rFont val="Tahoma"/>
            <family val="2"/>
          </rPr>
          <t>To integrate measures for adaptation and mitigation of climate change and combating desertification</t>
        </r>
      </text>
    </comment>
    <comment ref="CW70" authorId="2">
      <text>
        <r>
          <rPr>
            <b/>
            <sz val="9"/>
            <color indexed="81"/>
            <rFont val="Tahoma"/>
            <family val="2"/>
          </rPr>
          <t>Billy Tsekos:</t>
        </r>
        <r>
          <rPr>
            <sz val="9"/>
            <color indexed="81"/>
            <rFont val="Tahoma"/>
            <family val="2"/>
          </rPr>
          <t xml:space="preserve">
</t>
        </r>
        <r>
          <rPr>
            <b/>
            <sz val="9"/>
            <color indexed="81"/>
            <rFont val="Tahoma"/>
            <family val="2"/>
          </rPr>
          <t xml:space="preserve">NR-P.64: </t>
        </r>
        <r>
          <rPr>
            <sz val="9"/>
            <color indexed="81"/>
            <rFont val="Tahoma"/>
            <family val="2"/>
          </rPr>
          <t>Figure 14. Trend in national protected areas</t>
        </r>
      </text>
    </comment>
    <comment ref="Z71"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La France est le 3ème pays européen par sa surface forestière. En augmentation forte depuis le minimum forestier du début du XIXème siècle, la forêt occupe actuellement 16,54 millions d’hectares soit 30% du territoire national selon les estimations de l’Institut National de l’Information Géographique et Forestière (IGN).
</t>
        </r>
        <r>
          <rPr>
            <b/>
            <sz val="9"/>
            <color indexed="81"/>
            <rFont val="Tahoma"/>
            <family val="2"/>
          </rPr>
          <t xml:space="preserve">NR-P. 28: </t>
        </r>
        <r>
          <rPr>
            <sz val="9"/>
            <color indexed="81"/>
            <rFont val="Tahoma"/>
            <family val="2"/>
          </rPr>
          <t>Évolution des zones humides entre 2000 et 2010 Ensemble des site</t>
        </r>
      </text>
    </comment>
    <comment ref="AH71" authorId="2">
      <text>
        <r>
          <rPr>
            <b/>
            <sz val="9"/>
            <color indexed="81"/>
            <rFont val="Tahoma"/>
            <family val="2"/>
          </rPr>
          <t>Billy Tsekos:</t>
        </r>
        <r>
          <rPr>
            <sz val="9"/>
            <color indexed="81"/>
            <rFont val="Tahoma"/>
            <family val="2"/>
          </rPr>
          <t xml:space="preserve">
</t>
        </r>
        <r>
          <rPr>
            <b/>
            <sz val="9"/>
            <color indexed="81"/>
            <rFont val="Tahoma"/>
            <family val="2"/>
          </rPr>
          <t xml:space="preserve"> NR-P.26: INCREASE </t>
        </r>
        <r>
          <rPr>
            <sz val="9"/>
            <color indexed="81"/>
            <rFont val="Tahoma"/>
            <family val="2"/>
          </rPr>
          <t xml:space="preserve">En France métropolitaine, la superficie forestière s’est accrue de 1980 à 2010 d’environ 87 000 hectares, soit 0,6% annuellement. Cette évolution positive au cours des trente dernières années est surtout due au fait d’une colonisation naturelle des landes, friches et prairies et parcours pastoraux abandonnés, parfois au détriment de la biodiversité de ces milieux
</t>
        </r>
        <r>
          <rPr>
            <b/>
            <sz val="9"/>
            <color indexed="81"/>
            <rFont val="Tahoma"/>
            <family val="2"/>
          </rPr>
          <t>NR-P. 28:</t>
        </r>
        <r>
          <rPr>
            <sz val="9"/>
            <color indexed="81"/>
            <rFont val="Tahoma"/>
            <family val="2"/>
          </rPr>
          <t xml:space="preserve"> Évolution des zones humides entre 2000 et 2010 Ensemble des site</t>
        </r>
      </text>
    </comment>
    <comment ref="AV71" authorId="2">
      <text>
        <r>
          <rPr>
            <b/>
            <sz val="9"/>
            <color indexed="81"/>
            <rFont val="Tahoma"/>
            <family val="2"/>
          </rPr>
          <t>Billy Tsekos:</t>
        </r>
        <r>
          <rPr>
            <sz val="9"/>
            <color indexed="81"/>
            <rFont val="Tahoma"/>
            <family val="2"/>
          </rPr>
          <t xml:space="preserve">
</t>
        </r>
        <r>
          <rPr>
            <b/>
            <sz val="9"/>
            <color indexed="81"/>
            <rFont val="Tahoma"/>
            <family val="2"/>
          </rPr>
          <t>NR-P.22</t>
        </r>
        <r>
          <rPr>
            <sz val="9"/>
            <color indexed="81"/>
            <rFont val="Tahoma"/>
            <family val="2"/>
          </rPr>
          <t xml:space="preserve">: La fragmentation des habitats naturels se poursuit de manière importante avec une progression de l’artificialisation des espaces qui atteint près de 9,1% du territoire métropolitain en 2012
</t>
        </r>
        <r>
          <rPr>
            <b/>
            <sz val="9"/>
            <color indexed="81"/>
            <rFont val="Tahoma"/>
            <family val="2"/>
          </rPr>
          <t xml:space="preserve">
NR-P.27:</t>
        </r>
        <r>
          <rPr>
            <sz val="9"/>
            <color indexed="81"/>
            <rFont val="Tahoma"/>
            <family val="2"/>
          </rPr>
          <t xml:space="preserve"> Selon une enquête nationale réalisée en 2012, entre 2000 et 2010 7 % des zones humides ont continué à se dégrader, plus ou moins fortement, 42 % sont restées stables et 11 % se sont améliorées24. En 2014, il est estimé que 38% des milieux humides sont affectés par l’eutrophisation et 31% par les produits phytosanitaires. De manière générale, la dégradation des sites est due davantage à la détérioration de la qualité (fonctionnement) des milieux humides qu’à la régression de leur superficie</t>
        </r>
      </text>
    </comment>
    <comment ref="BA71" authorId="0">
      <text>
        <r>
          <rPr>
            <sz val="9"/>
            <color indexed="81"/>
            <rFont val="Tahoma"/>
            <family val="2"/>
          </rPr>
          <t>Target 11 Control pressures on biodiversity</t>
        </r>
      </text>
    </comment>
    <comment ref="BH71"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entre 2006 et 2012, la fragmentation des habitats naturels s’est poursuivie de manière importante, les espaces artificialisés s’étant étendus d’environ 400 000 hectares (pour atteindre 9,1 % du territoire métropolitain), en grande partie au détriment des milieux semi-naturels, notamment des terres agricoles.
</t>
        </r>
        <r>
          <rPr>
            <b/>
            <sz val="9"/>
            <color indexed="81"/>
            <rFont val="Tahoma"/>
            <family val="2"/>
          </rPr>
          <t xml:space="preserve">
NR-P.9:</t>
        </r>
        <r>
          <rPr>
            <sz val="9"/>
            <color indexed="81"/>
            <rFont val="Tahoma"/>
            <family val="2"/>
          </rPr>
          <t xml:space="preserve"> En matière de lutte contre la fragmentation de l’espace, la France a développé un outil innovant d’aménagement du territoire pour maintenir et restaurer les continuités écologiques. La « Trame verte et bleue » consiste en effet en la construction d’une infrastructure écologique, basée sur la connectivité au sein d'un réseau cohérent d’espaces protégés. </t>
        </r>
      </text>
    </comment>
    <comment ref="BI71" authorId="0">
      <text>
        <r>
          <rPr>
            <sz val="9"/>
            <color indexed="81"/>
            <rFont val="Tahoma"/>
            <family val="2"/>
          </rPr>
          <t>(P. NBSAP 37) Target 6 Preserve and
restore ecosystems and
their functioning</t>
        </r>
      </text>
    </comment>
    <comment ref="BL71" authorId="2">
      <text>
        <r>
          <rPr>
            <b/>
            <sz val="9"/>
            <color indexed="81"/>
            <rFont val="Tahoma"/>
            <family val="2"/>
          </rPr>
          <t>Billy Tsekos:</t>
        </r>
        <r>
          <rPr>
            <sz val="9"/>
            <color indexed="81"/>
            <rFont val="Tahoma"/>
            <family val="2"/>
          </rPr>
          <t xml:space="preserve">
</t>
        </r>
        <r>
          <rPr>
            <b/>
            <sz val="9"/>
            <color indexed="81"/>
            <rFont val="Tahoma"/>
            <family val="2"/>
          </rPr>
          <t xml:space="preserve">NR-P.33: </t>
        </r>
        <r>
          <rPr>
            <sz val="9"/>
            <color indexed="81"/>
            <rFont val="Tahoma"/>
            <family val="2"/>
          </rPr>
          <t>L’affectation de surfaces importantes de mangroves au Conservatoire du littoral y contribue pleinement. Elle permet en effet, en lien avec les collectivités et l’Office national des forêts, de conduire des opérations exemplaires de gestion et de mise en valeur. Le Conservatoire du littoral assure ainsi aujourd’hui la maîtrise foncière de 24 000 hectares de mangroves sur les territoires de Guyane, Guadeloupe, Saint Martin et Mayotte. L’objectif est de compléter ce réseau d’ici à 2016 pour augmenter d’environ 50 % cette surface, en orientant les perspectives d’affectation plus particulièrement en Martinique, à Mayotte et en Guyane. Une première identification des zones prioritaires de mangroves à protéger sur ces territoires a d’ailleurs été menée à l’été 2014</t>
        </r>
      </text>
    </comment>
    <comment ref="BP71"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Des actions significatives de restauration ont été engagées, souvent à l’initiative des propriétaires ou des gestionnaires. Elles ont concerné particulièrement les mangroves, les dunes et pannes dunaires ou encore les annexes alluviales. La France a mis en œuvre deux plans successifs de protection des zones humides et a adopté en 2014 un troisième plan national, étendu aux milieux humides selon la définition de la convention de Ramsar. Ce plan est centré sur la diminution des dégradations d’origine agricole et sur l’amélioration de la prise en compte du fonctionnement des milieux humides dans les projets d’aménagement en particulier en milieu urbain et littoral</t>
        </r>
      </text>
    </comment>
    <comment ref="BT71" authorId="2">
      <text>
        <r>
          <rPr>
            <b/>
            <sz val="9"/>
            <color indexed="81"/>
            <rFont val="Tahoma"/>
            <family val="2"/>
          </rPr>
          <t>Billy Tsekos:</t>
        </r>
        <r>
          <rPr>
            <sz val="9"/>
            <color indexed="81"/>
            <rFont val="Tahoma"/>
            <family val="2"/>
          </rPr>
          <t xml:space="preserve">
</t>
        </r>
        <r>
          <rPr>
            <b/>
            <sz val="9"/>
            <color indexed="81"/>
            <rFont val="Tahoma"/>
            <family val="2"/>
          </rPr>
          <t>NR-P.62:</t>
        </r>
        <r>
          <rPr>
            <sz val="9"/>
            <color indexed="81"/>
            <rFont val="Tahoma"/>
            <family val="2"/>
          </rPr>
          <t xml:space="preserve"> Distribution des projets sélectionné</t>
        </r>
      </text>
    </comment>
    <comment ref="BX71" authorId="2">
      <text>
        <r>
          <rPr>
            <b/>
            <sz val="9"/>
            <color indexed="81"/>
            <rFont val="Tahoma"/>
            <family val="2"/>
          </rPr>
          <t>Billy Tsekos:</t>
        </r>
        <r>
          <rPr>
            <sz val="9"/>
            <color indexed="81"/>
            <rFont val="Tahoma"/>
            <family val="2"/>
          </rPr>
          <t xml:space="preserve">
</t>
        </r>
        <r>
          <rPr>
            <b/>
            <sz val="9"/>
            <color indexed="81"/>
            <rFont val="Tahoma"/>
            <family val="2"/>
          </rPr>
          <t xml:space="preserve"> NR-P.21:</t>
        </r>
        <r>
          <rPr>
            <sz val="9"/>
            <color indexed="81"/>
            <rFont val="Tahoma"/>
            <family val="2"/>
          </rPr>
          <t xml:space="preserve"> Menaces et pressions sur les milieux naturels, habitats et espèces sauvages 
</t>
        </r>
      </text>
    </comment>
    <comment ref="CQ71" authorId="2">
      <text>
        <r>
          <rPr>
            <b/>
            <sz val="9"/>
            <color indexed="81"/>
            <rFont val="Tahoma"/>
            <family val="2"/>
          </rPr>
          <t>Billy Tsekos:</t>
        </r>
        <r>
          <rPr>
            <sz val="9"/>
            <color indexed="81"/>
            <rFont val="Tahoma"/>
            <family val="2"/>
          </rPr>
          <t xml:space="preserve">
</t>
        </r>
        <r>
          <rPr>
            <b/>
            <sz val="9"/>
            <color indexed="81"/>
            <rFont val="Tahoma"/>
            <family val="2"/>
          </rPr>
          <t xml:space="preserve">NR-P.104: </t>
        </r>
        <r>
          <rPr>
            <sz val="9"/>
            <color indexed="81"/>
            <rFont val="Tahoma"/>
            <family val="2"/>
          </rPr>
          <t xml:space="preserve">Adoption d’un plan d’action national contribuant à l’atténuation du changement climatique et à l’adaptation à celui-ci, notamment avec un volet centré sur la préservation de la biodiversité. </t>
        </r>
      </text>
    </comment>
    <comment ref="H73" authorId="2">
      <text>
        <r>
          <rPr>
            <b/>
            <sz val="9"/>
            <color indexed="81"/>
            <rFont val="Calibri"/>
            <family val="2"/>
          </rPr>
          <t>Billy Tsekos:</t>
        </r>
        <r>
          <rPr>
            <sz val="9"/>
            <color indexed="81"/>
            <rFont val="Calibri"/>
            <family val="2"/>
          </rPr>
          <t xml:space="preserve">
2016</t>
        </r>
      </text>
    </comment>
    <comment ref="Z73" authorId="3">
      <text>
        <r>
          <rPr>
            <b/>
            <sz val="10"/>
            <color indexed="81"/>
            <rFont val="Calibri"/>
          </rPr>
          <t xml:space="preserve">NBSAP-P. 10: </t>
        </r>
        <r>
          <rPr>
            <sz val="10"/>
            <color indexed="81"/>
            <rFont val="Calibri"/>
          </rPr>
          <t xml:space="preserve">There are 66 forest reserves covering a total of 34,029 hectares managed by the Department of Forestry.
</t>
        </r>
        <r>
          <rPr>
            <b/>
            <sz val="10"/>
            <color indexed="81"/>
            <rFont val="Calibri"/>
          </rPr>
          <t xml:space="preserve">NBSAP-P. 10: </t>
        </r>
        <r>
          <rPr>
            <sz val="10"/>
            <color indexed="81"/>
            <rFont val="Calibri"/>
          </rPr>
          <t xml:space="preserve">Thirty four forest parks totaling 22,239 hectares or 65% were designated as protected forest. Several local community forests also exist covering 18,000 hectares. However, most of these state and community forest reserves are exploited for firewood, timber and uncontrolled grazing though in principle meant to serve as biological pools to meet both local urban needs without compromising its environmental functions. Thus, they are not categorized as Protected Areas but few others such as bijilo, Pirang, Kungkilling and Dobo are undoubtedly managed for conservation.
</t>
        </r>
        <r>
          <rPr>
            <b/>
            <sz val="10"/>
            <color indexed="81"/>
            <rFont val="Calibri"/>
          </rPr>
          <t xml:space="preserve">
NBSAP-P. 13: </t>
        </r>
        <r>
          <rPr>
            <sz val="10"/>
            <color indexed="81"/>
            <rFont val="Calibri"/>
          </rPr>
          <t>The terrestrial surface of the Gambia in the past was covered by dense forest, estimated at 43% of the total land area of the country, National Forest Inventory (2010). Land Cover/Land use map, 2010)</t>
        </r>
      </text>
    </comment>
    <comment ref="AH73" authorId="3">
      <text>
        <r>
          <rPr>
            <b/>
            <sz val="10"/>
            <color indexed="81"/>
            <rFont val="Calibri"/>
          </rPr>
          <t xml:space="preserve">NBSAP- P. 45: Table 5: </t>
        </r>
        <r>
          <rPr>
            <sz val="10"/>
            <color indexed="81"/>
            <rFont val="Calibri"/>
          </rPr>
          <t xml:space="preserve">Changes in forest cover between 1946 and 2015.
</t>
        </r>
        <r>
          <rPr>
            <b/>
            <sz val="10"/>
            <color indexed="81"/>
            <rFont val="Calibri"/>
          </rPr>
          <t>NBSAP- P. 45:</t>
        </r>
        <r>
          <rPr>
            <sz val="10"/>
            <color indexed="81"/>
            <rFont val="Calibri"/>
          </rPr>
          <t xml:space="preserve"> since 1983, 7% of forest cover has been lost. One of the most significant losses (accounting for 73% of the overall forest loss) has occurred in mangroves, which were previously estimated to be approximately 67,000 ha and are now estimated to be 35,700 ha – a loss of roughly 47% of their previous cover. This translates to 1,080 ha of mangroves lost each year, an alarming rate of decline over the last 30 years. These results therefore indicate that there is a net decrease of 97,000 ha of forest and other wooded land from 1997/98 to 2009/10 with the species composition being narrowed even further.</t>
        </r>
      </text>
    </comment>
    <comment ref="AV73" authorId="3">
      <text>
        <r>
          <rPr>
            <b/>
            <sz val="10"/>
            <color indexed="81"/>
            <rFont val="Calibri"/>
          </rPr>
          <t xml:space="preserve">NBSAP-P.45: </t>
        </r>
        <r>
          <rPr>
            <sz val="10"/>
            <color indexed="81"/>
            <rFont val="Calibri"/>
          </rPr>
          <t>Another cause of forest loss is the national fuelwood demand estimated at around 242,370 tonnes annually. Each Gambian uses 0.6 kg of firewood per day and in urban areasthe per capita consumption of charcoal is 0.09 kg per day. The volume of fuelwood available in the country according to a study bythe Energy Division8in 2004 was about 88,000m3 and 60% of the demand is actually met through importation.</t>
        </r>
      </text>
    </comment>
    <comment ref="BA73" authorId="0">
      <text>
        <r>
          <rPr>
            <b/>
            <sz val="9"/>
            <color indexed="81"/>
            <rFont val="Tahoma"/>
            <family val="2"/>
          </rPr>
          <t xml:space="preserve">NBSAP - P.82: </t>
        </r>
        <r>
          <rPr>
            <sz val="9"/>
            <color indexed="81"/>
            <rFont val="Tahoma"/>
            <family val="2"/>
          </rPr>
          <t xml:space="preserve">Target 5 By 2020, the rate of biodiversity loss, forest fragmentation and land degradation is reduced by 20%
</t>
        </r>
        <r>
          <rPr>
            <b/>
            <sz val="9"/>
            <color indexed="81"/>
            <rFont val="Tahoma"/>
            <family val="2"/>
          </rPr>
          <t>Milestones:</t>
        </r>
        <r>
          <rPr>
            <sz val="9"/>
            <color indexed="81"/>
            <rFont val="Tahoma"/>
            <family val="2"/>
          </rPr>
          <t xml:space="preserve">
• By 2020, productivity of forage and rangelands is improved
• By 2020, Productive agricultural zones around protected areas enhanced through Sustainable Land Management (SLM)
• By 2020 Promote the use of energy saving cooking stoves
• By 2020 Restoration of degraded wetlands and landscape
• By 2020, Sustainable use of non-timber forest products is promoted
• By 2020, sustainable management, including the use of traditional resources management system to ecosystems under pressure, including hotspot ecologically sensitive areas is applied</t>
        </r>
      </text>
    </comment>
    <comment ref="BC73" authorId="3">
      <text>
        <r>
          <rPr>
            <b/>
            <sz val="10"/>
            <color indexed="81"/>
            <rFont val="Calibri"/>
          </rPr>
          <t xml:space="preserve">20%
</t>
        </r>
        <r>
          <rPr>
            <sz val="10"/>
            <color indexed="81"/>
            <rFont val="Calibri"/>
          </rPr>
          <t xml:space="preserve">
</t>
        </r>
      </text>
    </comment>
    <comment ref="BD73" authorId="2">
      <text>
        <r>
          <rPr>
            <b/>
            <sz val="9"/>
            <color indexed="81"/>
            <rFont val="Tahoma"/>
            <family val="2"/>
          </rPr>
          <t>Billy Tsekos:</t>
        </r>
        <r>
          <rPr>
            <sz val="9"/>
            <color indexed="81"/>
            <rFont val="Tahoma"/>
            <family val="2"/>
          </rPr>
          <t xml:space="preserve">
2020</t>
        </r>
      </text>
    </comment>
    <comment ref="BH73" authorId="2">
      <text>
        <r>
          <rPr>
            <b/>
            <sz val="9"/>
            <color indexed="81"/>
            <rFont val="Tahoma"/>
            <family val="2"/>
          </rPr>
          <t>Billy Tsekos:</t>
        </r>
        <r>
          <rPr>
            <sz val="9"/>
            <color indexed="81"/>
            <rFont val="Tahoma"/>
            <family val="2"/>
          </rPr>
          <t xml:space="preserve">
</t>
        </r>
        <r>
          <rPr>
            <b/>
            <sz val="9"/>
            <color indexed="81"/>
            <rFont val="Tahoma"/>
            <family val="2"/>
          </rPr>
          <t>NBSAP-P.42</t>
        </r>
        <r>
          <rPr>
            <sz val="9"/>
            <color indexed="81"/>
            <rFont val="Tahoma"/>
            <family val="2"/>
          </rPr>
          <t>: Shifting cultivation and itinerant farming practices that enable a
sizeable population to establish ownership over every single strip of land leads to further fragmentation of wildlife habitats and destruction of migratory corridors
Fragmnetation is also reflected in national targets.</t>
        </r>
      </text>
    </comment>
    <comment ref="BI73" authorId="0">
      <text>
        <r>
          <rPr>
            <b/>
            <sz val="9"/>
            <color indexed="81"/>
            <rFont val="Tahoma"/>
            <family val="2"/>
          </rPr>
          <t>NBSAP- P.60:</t>
        </r>
        <r>
          <rPr>
            <sz val="9"/>
            <color indexed="81"/>
            <rFont val="Tahoma"/>
            <family val="2"/>
          </rPr>
          <t xml:space="preserve"> By 2020, ecosystem resilience and the contribution of biodiversity to carbon stocks has been enhanced, through conservation and restoration, including restoration of at least 50 per cent of degraded ecosystems.</t>
        </r>
      </text>
    </comment>
    <comment ref="BP73" authorId="3">
      <text>
        <r>
          <rPr>
            <b/>
            <sz val="10"/>
            <color indexed="81"/>
            <rFont val="Calibri"/>
          </rPr>
          <t>NBSAP - P. 73: T</t>
        </r>
        <r>
          <rPr>
            <sz val="10"/>
            <color indexed="81"/>
            <rFont val="Calibri"/>
          </rPr>
          <t xml:space="preserve">here are huge efforts of forest ecosystem restoration through mangrove and other tree planting exercises. Increasing forest cover, designation of wetlands and restoration of degraded areas are the major activities required to realize this target. Protected Areas diversification which is underway in the Gambia will be strengthened to establish more Protected Areas, expand existing protected areas and ensure restoration of biodiversity within and outside biodiversity hotspots. Moreover, climate change mitigation activities in the NAPA and NAMA documents are being implemented. To optimized the use of runoff water through soil and water conservation techniques and to promote wetland engineering in communities prone to seasonal flooding. </t>
        </r>
      </text>
    </comment>
    <comment ref="BX73" authorId="2">
      <text>
        <r>
          <rPr>
            <b/>
            <sz val="9"/>
            <color indexed="81"/>
            <rFont val="Tahoma"/>
            <family val="2"/>
          </rPr>
          <t>Billy Tsekos:</t>
        </r>
        <r>
          <rPr>
            <sz val="9"/>
            <color indexed="81"/>
            <rFont val="Tahoma"/>
            <family val="2"/>
          </rPr>
          <t xml:space="preserve">
</t>
        </r>
        <r>
          <rPr>
            <b/>
            <sz val="9"/>
            <color indexed="81"/>
            <rFont val="Tahoma"/>
            <family val="2"/>
          </rPr>
          <t>5 NR- P.27 -Fuel Wood Extraction:</t>
        </r>
        <r>
          <rPr>
            <sz val="9"/>
            <color indexed="81"/>
            <rFont val="Tahoma"/>
            <family val="2"/>
          </rPr>
          <t xml:space="preserve">
The cutting of trees for fuel wood is among the leading causes of deforestation in the Gambia. It is reported that forest in the Gambia provides 85% of the country’s domestic energy needs in the form of fuel wood for over 90% of the population. As the population continues to increase, the fuel wood demand continues to increase unprecedentedly and put more pressure on the country’s remaining forest resources.
Currently, many part of the country are facing shortage as the population of preferred fuel wood species decline. The market demand for certain species of fuel wood compelled wood vendors to harvest green wood.</t>
        </r>
      </text>
    </comment>
    <comment ref="CH73" authorId="2">
      <text>
        <r>
          <rPr>
            <b/>
            <sz val="9"/>
            <color indexed="81"/>
            <rFont val="Tahoma"/>
            <family val="2"/>
          </rPr>
          <t>Billy Tsekos:</t>
        </r>
        <r>
          <rPr>
            <sz val="9"/>
            <color indexed="81"/>
            <rFont val="Tahoma"/>
            <family val="2"/>
          </rPr>
          <t xml:space="preserve">
</t>
        </r>
        <r>
          <rPr>
            <b/>
            <sz val="9"/>
            <color indexed="81"/>
            <rFont val="Tahoma"/>
            <family val="2"/>
          </rPr>
          <t xml:space="preserve">NBSAP- P.69: </t>
        </r>
        <r>
          <rPr>
            <sz val="9"/>
            <color indexed="81"/>
            <rFont val="Tahoma"/>
            <family val="2"/>
          </rPr>
          <t>The future REDD+ mechanism envisaged in Target 15 is also a major strategy to reduce GHG emissions as they address the direct and indirect causes of deforestation and degradation.</t>
        </r>
      </text>
    </comment>
    <comment ref="CP73" authorId="2">
      <text>
        <r>
          <rPr>
            <b/>
            <sz val="9"/>
            <color indexed="81"/>
            <rFont val="Tahoma"/>
            <family val="2"/>
          </rPr>
          <t>Billy Tsekos:</t>
        </r>
        <r>
          <rPr>
            <sz val="9"/>
            <color indexed="81"/>
            <rFont val="Tahoma"/>
            <family val="2"/>
          </rPr>
          <t xml:space="preserve">
</t>
        </r>
        <r>
          <rPr>
            <b/>
            <sz val="9"/>
            <color indexed="81"/>
            <rFont val="Tahoma"/>
            <family val="2"/>
          </rPr>
          <t>NBSAP. P.38:</t>
        </r>
        <r>
          <rPr>
            <sz val="9"/>
            <color indexed="81"/>
            <rFont val="Tahoma"/>
            <family val="2"/>
          </rPr>
          <t xml:space="preserve"> GEF-Funded “Enhancing Resilience to Climate Change in Vulnerable Areas and Communities in The Gambia Project</t>
        </r>
      </text>
    </comment>
    <comment ref="CQ73" authorId="2">
      <text>
        <r>
          <rPr>
            <b/>
            <sz val="9"/>
            <color indexed="81"/>
            <rFont val="Tahoma"/>
            <family val="2"/>
          </rPr>
          <t xml:space="preserve">Billy Tsekos:
NBSAP-P.68: </t>
        </r>
        <r>
          <rPr>
            <sz val="9"/>
            <color indexed="81"/>
            <rFont val="Tahoma"/>
            <family val="2"/>
          </rPr>
          <t>National Target 10: By 2020, all vulnerable ecosystems impacted by climate change minimized at least 20%</t>
        </r>
      </text>
    </comment>
    <comment ref="CV73" authorId="3">
      <text>
        <r>
          <rPr>
            <b/>
            <sz val="10"/>
            <color indexed="81"/>
            <rFont val="Calibri"/>
          </rPr>
          <t>NBSAP - P. 21:</t>
        </r>
        <r>
          <rPr>
            <sz val="10"/>
            <color indexed="81"/>
            <rFont val="Calibri"/>
          </rPr>
          <t xml:space="preserve"> Minvolving rural communities, especially the “voiceless,” in biodiversity conservation, resource management and in decisions regarding environmentally sound practices and techniques aimed at combating desertification (such as rainwater harvesting, insect control, post-harvest storage, etc.) is a powerful way to mitigate the conditions and the impact of land degradation.
</t>
        </r>
        <r>
          <rPr>
            <b/>
            <sz val="10"/>
            <color indexed="81"/>
            <rFont val="Calibri"/>
          </rPr>
          <t>NBSAP - P.32:</t>
        </r>
        <r>
          <rPr>
            <sz val="10"/>
            <color indexed="81"/>
            <rFont val="Calibri"/>
          </rPr>
          <t xml:space="preserve"> efforts are underway to adequately mainstream biodiversity issues in all the sectoral and cross-sectoral policies such as National Adaptation Plan on Desertification.</t>
        </r>
      </text>
    </comment>
    <comment ref="CW73" authorId="2">
      <text>
        <r>
          <rPr>
            <b/>
            <sz val="9"/>
            <color indexed="81"/>
            <rFont val="Tahoma"/>
            <family val="2"/>
          </rPr>
          <t xml:space="preserve">Billy Tsekos:
NBSAP-P.10: </t>
        </r>
        <r>
          <rPr>
            <sz val="9"/>
            <color indexed="81"/>
            <rFont val="Tahoma"/>
            <family val="2"/>
          </rPr>
          <t xml:space="preserve">
Thirty four forest parks totaling 22,239 hectares or 65% were designated as protected forest. Several local community forests also exist covering 18,000 hectares. However, most of these state and community forest reserves are exploited for firewood, timber and uncontrolled grazing though in principle meant to serve as biological pools to meet both local urban needs without compromising its environmental functions. Thus, they are not categorized as Protected Areas but few others such as bijilo, Pirang, Kungkilling and Dobo are undoubtedly managed for conservation</t>
        </r>
      </text>
    </comment>
    <comment ref="DG73" authorId="2">
      <text>
        <r>
          <rPr>
            <b/>
            <sz val="9"/>
            <color indexed="81"/>
            <rFont val="Tahoma"/>
            <family val="2"/>
          </rPr>
          <t>Billy Tsekos:</t>
        </r>
        <r>
          <rPr>
            <sz val="9"/>
            <color indexed="81"/>
            <rFont val="Tahoma"/>
            <family val="2"/>
          </rPr>
          <t xml:space="preserve">
Treatment of the Land Use Land Use-Change and Forestry (LULUCF) emissions category has not been considered in the INDC. Excluding LULUCF and for Low Emissions Scenario, overall emissions will be reduced by about 44.4% in 2025 and 45.4% in 2030</t>
        </r>
      </text>
    </comment>
    <comment ref="DK73" authorId="2">
      <text>
        <r>
          <rPr>
            <b/>
            <sz val="9"/>
            <color indexed="81"/>
            <rFont val="Tahoma"/>
            <family val="2"/>
          </rPr>
          <t>Billy Tsekos:</t>
        </r>
        <r>
          <rPr>
            <sz val="9"/>
            <color indexed="81"/>
            <rFont val="Tahoma"/>
            <family val="2"/>
          </rPr>
          <t xml:space="preserve">
Plant trees on communal lands to increase forest coverage.
( reduction in Gg Co2 in 2025 = 275.2)
</t>
        </r>
        <r>
          <rPr>
            <b/>
            <u/>
            <sz val="9"/>
            <color indexed="81"/>
            <rFont val="Tahoma"/>
            <family val="2"/>
          </rPr>
          <t>Reductions in the Agricultural Sector</t>
        </r>
        <r>
          <rPr>
            <sz val="9"/>
            <color indexed="81"/>
            <rFont val="Tahoma"/>
            <family val="2"/>
          </rPr>
          <t xml:space="preserve">
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t>
        </r>
      </text>
    </comment>
    <comment ref="DL73" authorId="2">
      <text>
        <r>
          <rPr>
            <b/>
            <sz val="9"/>
            <color indexed="81"/>
            <rFont val="Tahoma"/>
            <family val="2"/>
          </rPr>
          <t>Billy Tsekos:</t>
        </r>
        <r>
          <rPr>
            <sz val="9"/>
            <color indexed="81"/>
            <rFont val="Tahoma"/>
            <family val="2"/>
          </rPr>
          <t xml:space="preserve">
</t>
        </r>
        <r>
          <rPr>
            <b/>
            <sz val="9"/>
            <color indexed="81"/>
            <rFont val="Tahoma"/>
            <family val="2"/>
          </rPr>
          <t>Climate Change Adaptation through large scale ecosystem restoration of the River Gambia Watershed by:</t>
        </r>
        <r>
          <rPr>
            <sz val="9"/>
            <color indexed="81"/>
            <rFont val="Tahoma"/>
            <family val="2"/>
          </rPr>
          <t xml:space="preserve">
a) Improving disaster preparedness and decrease the effect of disasters at seven hotspots identified under the 2012 study by the National Disaster Management Agency;
b) Promoting access to community markets by improving climate resilience of infrastructure and transport through the rehabilitation and development of critical road and transport infrastructure;
c) Establishing food processing and preservation plants close to communities and markets;
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
</t>
        </r>
        <r>
          <rPr>
            <b/>
            <sz val="9"/>
            <color indexed="81"/>
            <rFont val="Tahoma"/>
            <family val="2"/>
          </rPr>
          <t>Adapting the Agriculture System to Climate Change in The Gambia will strengthen diversified and sustainable livelihood strategies for reducing the impacts of climate variability and change in agriculture and livestock sectors of The Gambia</t>
        </r>
      </text>
    </comment>
    <comment ref="DM73" authorId="2">
      <text>
        <r>
          <rPr>
            <b/>
            <sz val="9"/>
            <color indexed="81"/>
            <rFont val="Tahoma"/>
            <family val="2"/>
          </rPr>
          <t>Billy Tsekos:</t>
        </r>
        <r>
          <rPr>
            <sz val="9"/>
            <color indexed="81"/>
            <rFont val="Tahoma"/>
            <family val="2"/>
          </rPr>
          <t xml:space="preserve">
2 500 Gg CO2e </t>
        </r>
        <r>
          <rPr>
            <b/>
            <sz val="9"/>
            <color indexed="81"/>
            <rFont val="Tahoma"/>
            <family val="2"/>
          </rPr>
          <t>= 2015</t>
        </r>
      </text>
    </comment>
    <comment ref="DO73" authorId="2">
      <text>
        <r>
          <rPr>
            <b/>
            <sz val="9"/>
            <color indexed="81"/>
            <rFont val="Tahoma"/>
            <family val="2"/>
          </rPr>
          <t>Billy Tsekos:</t>
        </r>
        <r>
          <rPr>
            <sz val="9"/>
            <color indexed="81"/>
            <rFont val="Tahoma"/>
            <family val="2"/>
          </rPr>
          <t xml:space="preserve">
approx. 580 Gg CO2e per year</t>
        </r>
      </text>
    </comment>
    <comment ref="ER73" authorId="0">
      <text>
        <r>
          <rPr>
            <sz val="9"/>
            <color indexed="81"/>
            <rFont val="Tahoma"/>
            <family val="2"/>
          </rPr>
          <t>Target 5: By 2020 an effective monitoring protocol for critical habitats, mainly forests, mangroves and coral reefs has been implemented to assist in reducing degradation and fragmentation and measures developed and undertaken to reduce the rate of loss by 10%</t>
        </r>
      </text>
    </comment>
    <comment ref="ET73" authorId="0">
      <text>
        <r>
          <rPr>
            <sz val="9"/>
            <color indexed="81"/>
            <rFont val="Tahoma"/>
            <family val="2"/>
          </rPr>
          <t xml:space="preserve">NBSAP-p.36- By 2020 Restoration of biodiversity hotspots in Antigua and Barbuda thereby contributing to climate change mitigation and adaptation and to combating desertification
</t>
        </r>
      </text>
    </comment>
    <comment ref="BA74" authorId="0">
      <text>
        <r>
          <rPr>
            <sz val="9"/>
            <color indexed="81"/>
            <rFont val="Tahoma"/>
            <family val="2"/>
          </rPr>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r>
      </text>
    </comment>
    <comment ref="H76" authorId="2">
      <text>
        <r>
          <rPr>
            <b/>
            <sz val="9"/>
            <color indexed="81"/>
            <rFont val="Calibri"/>
            <family val="2"/>
          </rPr>
          <t>Billy Tsekos:</t>
        </r>
        <r>
          <rPr>
            <sz val="9"/>
            <color indexed="81"/>
            <rFont val="Calibri"/>
            <family val="2"/>
          </rPr>
          <t xml:space="preserve">
2002</t>
        </r>
      </text>
    </comment>
    <comment ref="AH76"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The rate of decline of the country’s forest was estimated at 2.24% between 2005 and 2010.
</t>
        </r>
        <r>
          <rPr>
            <b/>
            <sz val="9"/>
            <color indexed="81"/>
            <rFont val="Tahoma"/>
            <family val="2"/>
          </rPr>
          <t xml:space="preserve">
NR-P.5:</t>
        </r>
        <r>
          <rPr>
            <sz val="9"/>
            <color indexed="81"/>
            <rFont val="Tahoma"/>
            <family val="2"/>
          </rPr>
          <t xml:space="preserve"> The total forest cover in Ghana has thus reduced from 32.7% of total land area as at 1990 to 21.7% in 2010</t>
        </r>
      </text>
    </comment>
    <comment ref="AO76" authorId="2">
      <text>
        <r>
          <rPr>
            <b/>
            <sz val="9"/>
            <color indexed="81"/>
            <rFont val="Tahoma"/>
            <family val="2"/>
          </rPr>
          <t>Billy Tsekos:</t>
        </r>
        <r>
          <rPr>
            <sz val="9"/>
            <color indexed="81"/>
            <rFont val="Tahoma"/>
            <family val="2"/>
          </rPr>
          <t xml:space="preserve">
</t>
        </r>
        <r>
          <rPr>
            <b/>
            <sz val="9"/>
            <color indexed="81"/>
            <rFont val="Tahoma"/>
            <family val="2"/>
          </rPr>
          <t>NR- P. 6:</t>
        </r>
        <r>
          <rPr>
            <sz val="9"/>
            <color indexed="81"/>
            <rFont val="Tahoma"/>
            <family val="2"/>
          </rPr>
          <t xml:space="preserve"> In 2002, there were 3.7 million cubic meters' worth of logs extracted which represents about four times the annual allowable harvest.</t>
        </r>
      </text>
    </comment>
    <comment ref="BA76" authorId="2">
      <text>
        <r>
          <rPr>
            <b/>
            <sz val="9"/>
            <color indexed="81"/>
            <rFont val="Tahoma"/>
            <family val="2"/>
          </rPr>
          <t>Billy Tsekos:</t>
        </r>
        <r>
          <rPr>
            <sz val="9"/>
            <color indexed="81"/>
            <rFont val="Tahoma"/>
            <family val="2"/>
          </rPr>
          <t xml:space="preserve">
</t>
        </r>
        <r>
          <rPr>
            <b/>
            <sz val="9"/>
            <color indexed="81"/>
            <rFont val="Tahoma"/>
            <family val="2"/>
          </rPr>
          <t xml:space="preserve">NR-p. 14: </t>
        </r>
        <r>
          <rPr>
            <sz val="9"/>
            <color indexed="81"/>
            <rFont val="Tahoma"/>
            <family val="2"/>
          </rPr>
          <t>Their targets are not specific and are developed based on themes. Here are some targets that relate to target 5:
- Protected area systems that incorporate natural habitats and viable populations of species established</t>
        </r>
      </text>
    </comment>
    <comment ref="BH76"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In Ghana, the twin pressures of population and poverty are resulting in substantial fragmentation of forests, increasing the probability of extinction for many species. There is evidence to suggest that increased population growth through birth and internal migration has resulted among others on associated land use conflicts</t>
        </r>
      </text>
    </comment>
    <comment ref="BI76" authorId="2">
      <text>
        <r>
          <rPr>
            <b/>
            <sz val="9"/>
            <color indexed="81"/>
            <rFont val="Tahoma"/>
            <family val="2"/>
          </rPr>
          <t>Billy Tsekos:</t>
        </r>
        <r>
          <rPr>
            <sz val="9"/>
            <color indexed="81"/>
            <rFont val="Tahoma"/>
            <family val="2"/>
          </rPr>
          <t xml:space="preserve">
NR-p. 14: Their targets are not specific and are developed based on themes. Here are some targets that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r>
      </text>
    </comment>
    <comment ref="BX76" authorId="2">
      <text>
        <r>
          <rPr>
            <b/>
            <sz val="9"/>
            <color indexed="81"/>
            <rFont val="Tahoma"/>
            <family val="2"/>
          </rPr>
          <t xml:space="preserve">Billy Tsekos:
NR-P.5&amp;6: </t>
        </r>
        <r>
          <rPr>
            <sz val="9"/>
            <color indexed="81"/>
            <rFont val="Tahoma"/>
            <family val="2"/>
          </rPr>
          <t xml:space="preserve">
Unsustainable logging practices threaten the forestry sector’s contribution to the sustainable development of the country. In 2002, there were 3.7 million cubic meters' worth of logs extracted which represents about four times the annual allowable harvest. These contribute to irreversible changes that illegal logging causes to the forest ecosystem and which directly impacts on both fauna and flora.
Reports indicate that more than 80 percent of agricultural expansion in Ghana between 1980 and 2000 came at the expense of forests (Butler, September 02, 2010). This is a reflection of how far agricultural encroachment has also posed great threat to biodiversity.
Exploratory activities for Ghana’s oil and gas are scheduled in the short-term, to be undertaken onshore in the Voltaian Basin, covering about 40% of the country’s land mass and stretches from the south through the middle belt to the north. Albeit the impact of exploratory activities on biodiversity may be minimal, development of finds for production activities could impact significantly on biodiversity. 
Recent spate of uncontrolled socio-economic activities such as illegal strip mining, logging and poaching have left in their trail massive degradation of Ghana’s forests which provide habitat for significant communities of biodiversity. Over the last decade, important biodiversity hotspots have been devastated by severe illegal activities including encroachments. Massive spate of illegal small scale mining within the last eight to ten years has led to unprecedented devastation of the country’s forests in both the high forest and transition forest zones.
</t>
        </r>
      </text>
    </comment>
    <comment ref="CC76" authorId="2">
      <text>
        <r>
          <rPr>
            <b/>
            <sz val="9"/>
            <color indexed="81"/>
            <rFont val="Tahoma"/>
            <family val="2"/>
          </rPr>
          <t>Billy Tsekos:
NR-P.24:</t>
        </r>
        <r>
          <rPr>
            <sz val="9"/>
            <color indexed="81"/>
            <rFont val="Tahoma"/>
            <family val="2"/>
          </rPr>
          <t xml:space="preserve">The implementation of investment plan for the Forest Investment Project (FIP) with the goal to Reduce GHG emissions from deforestation and forest degradation, while reducing poverty and conserving biodiversity. </t>
        </r>
        <r>
          <rPr>
            <b/>
            <sz val="9"/>
            <color indexed="81"/>
            <rFont val="Tahoma"/>
            <family val="2"/>
          </rPr>
          <t xml:space="preserve">
NR-P.18:</t>
        </r>
        <r>
          <rPr>
            <sz val="9"/>
            <color indexed="81"/>
            <rFont val="Tahoma"/>
            <family val="2"/>
          </rPr>
          <t xml:space="preserve">
• The Forestry Commission and Newmont Golden Ridge Resources (gold mining company) implementing an offset project to help quantify the residual impacts of a gold mine.
• The Government of Ghana published a new Forest and Wildlife Policy which aims among others at “the conservation and sustainable development of forest and wildlife  resources for the maintenance of environmental stability and continuous flow of
optimum benefits from the socio cultural and economic goods and services the forest environment provides to the present and future generations "
• Ghana is also implementing a Sustainable Land and Water Management Project to demonstrate improved sustainable land and water management practices aimed at reducing land degradation and enhancing maintenance of biodiversity in selected microwatersheds in the Northern Savanna region of Ghana.
• The Forestry Commission has also established a Rapid Response Team to identify and deal with illegal activities in protected areas
• Action plan for addressing the depletion of living marine resources and habitat degradation prepared but not implemented. 
</t>
        </r>
        <r>
          <rPr>
            <b/>
            <sz val="9"/>
            <color indexed="81"/>
            <rFont val="Tahoma"/>
            <family val="2"/>
          </rPr>
          <t>NR-P.28</t>
        </r>
        <r>
          <rPr>
            <sz val="9"/>
            <color indexed="81"/>
            <rFont val="Tahoma"/>
            <family val="2"/>
          </rPr>
          <t xml:space="preserve">: Multi Donor Budget Support is directed at addressing degradation of biodiversity joining the Forestry, Law Enforcement, Governance and Trade (FLEGT) initiative and participating in the Voluntary Partnership Agreement (VPA) to reduce illegal logging. The European Commission Cooperation, The World bank, Canada, DFID, AFD and the Netherlands have variously provided support for biodiversity activities in the country. 
</t>
        </r>
      </text>
    </comment>
    <comment ref="CH76" authorId="2">
      <text>
        <r>
          <rPr>
            <b/>
            <sz val="9"/>
            <color indexed="81"/>
            <rFont val="Tahoma"/>
            <family val="2"/>
          </rPr>
          <t>Billy Tsekos:</t>
        </r>
        <r>
          <rPr>
            <sz val="9"/>
            <color indexed="81"/>
            <rFont val="Tahoma"/>
            <family val="2"/>
          </rPr>
          <t xml:space="preserve">
</t>
        </r>
        <r>
          <rPr>
            <b/>
            <sz val="9"/>
            <color indexed="81"/>
            <rFont val="Tahoma"/>
            <family val="2"/>
          </rPr>
          <t>NR-P.18:</t>
        </r>
        <r>
          <rPr>
            <sz val="9"/>
            <color indexed="81"/>
            <rFont val="Tahoma"/>
            <family val="2"/>
          </rPr>
          <t xml:space="preserve"> Awareness creation activities having also been undertaken across the country through the REDD+ Roadshow, the Forestry Week and similar sector activities aimed at mass awareness creation on biodiversity
</t>
        </r>
        <r>
          <rPr>
            <b/>
            <sz val="9"/>
            <color indexed="81"/>
            <rFont val="Tahoma"/>
            <family val="2"/>
          </rPr>
          <t xml:space="preserve">
NR-P.18: </t>
        </r>
        <r>
          <rPr>
            <sz val="9"/>
            <color indexed="81"/>
            <rFont val="Tahoma"/>
            <family val="2"/>
          </rPr>
          <t xml:space="preserve">key achievements in mainstreaming:
• Linkages with ongoing initiatives such as Reduction of Deforestation and Degradation (REDD+) and Forest Law Enforcement, Governance and Trade (FLEGT) are critical for ensuring conservation of biodiversity in a synergistic way.
• The Emission Reduction Programme under the REDD+ mechanism. </t>
        </r>
      </text>
    </comment>
    <comment ref="CP76" authorId="2">
      <text>
        <r>
          <rPr>
            <b/>
            <sz val="9"/>
            <color indexed="81"/>
            <rFont val="Tahoma"/>
            <family val="2"/>
          </rPr>
          <t>Billy Tsekos:</t>
        </r>
        <r>
          <rPr>
            <sz val="9"/>
            <color indexed="81"/>
            <rFont val="Tahoma"/>
            <family val="2"/>
          </rPr>
          <t xml:space="preserve">
</t>
        </r>
        <r>
          <rPr>
            <b/>
            <sz val="9"/>
            <color indexed="81"/>
            <rFont val="Tahoma"/>
            <family val="2"/>
          </rPr>
          <t xml:space="preserve">NR- p.11: </t>
        </r>
        <r>
          <rPr>
            <sz val="9"/>
            <color indexed="81"/>
            <rFont val="Tahoma"/>
            <family val="2"/>
          </rPr>
          <t xml:space="preserve">The indiscriminate use of agro-chemicals as fertilizers and pest control agents have led to loss of pollinator services, soil degradation and reduced ecosystem resilience. </t>
        </r>
      </text>
    </comment>
    <comment ref="CQ76" authorId="2">
      <text>
        <r>
          <rPr>
            <b/>
            <sz val="9"/>
            <color indexed="81"/>
            <rFont val="Tahoma"/>
            <family val="2"/>
          </rPr>
          <t>Billy Tsekos:</t>
        </r>
        <r>
          <rPr>
            <sz val="9"/>
            <color indexed="81"/>
            <rFont val="Tahoma"/>
            <family val="2"/>
          </rPr>
          <t xml:space="preserve">
</t>
        </r>
        <r>
          <rPr>
            <b/>
            <sz val="9"/>
            <color indexed="81"/>
            <rFont val="Tahoma"/>
            <family val="2"/>
          </rPr>
          <t xml:space="preserve">NR-p.25 </t>
        </r>
        <r>
          <rPr>
            <sz val="9"/>
            <color indexed="81"/>
            <rFont val="Tahoma"/>
            <family val="2"/>
          </rPr>
          <t xml:space="preserve">Ghana’s economy is heavily dependent on climate-sensitive sectors such as agriculture, forestry and water resources. The National Climate Change Policy Framework (NCCPF) has been developed through a consultative process, and the policy framework has three main objectives:
1. Adaptation and reduced vulnerability to impact of climate change;
2. Mitigating the impact of climate change; and
3. Low carbon growth 
</t>
        </r>
      </text>
    </comment>
    <comment ref="CV76" authorId="2">
      <text>
        <r>
          <rPr>
            <b/>
            <sz val="9"/>
            <color indexed="81"/>
            <rFont val="Tahoma"/>
            <family val="2"/>
          </rPr>
          <t>Billy Tsekos:</t>
        </r>
        <r>
          <rPr>
            <sz val="9"/>
            <color indexed="81"/>
            <rFont val="Tahoma"/>
            <family val="2"/>
          </rPr>
          <t xml:space="preserve">
</t>
        </r>
        <r>
          <rPr>
            <b/>
            <sz val="9"/>
            <color indexed="81"/>
            <rFont val="Tahoma"/>
            <family val="2"/>
          </rPr>
          <t>NR-P. 19:</t>
        </r>
        <r>
          <rPr>
            <sz val="9"/>
            <color indexed="81"/>
            <rFont val="Tahoma"/>
            <family val="2"/>
          </rPr>
          <t xml:space="preserve"> National Action Plan to Combat Drought and Desertification implemented; the NAP is being revised to align it with the 10 year UNCCD strategic plan.
</t>
        </r>
        <r>
          <rPr>
            <b/>
            <sz val="9"/>
            <color indexed="81"/>
            <rFont val="Tahoma"/>
            <family val="2"/>
          </rPr>
          <t xml:space="preserve">NR-P. 14:In-Situ Conservation Targets:
</t>
        </r>
        <r>
          <rPr>
            <sz val="9"/>
            <color indexed="81"/>
            <rFont val="Tahoma"/>
            <family val="2"/>
          </rPr>
          <t xml:space="preserve">Effects of desertification on biodiversity analyzed and mitigation measures, including those for climate change put in place. </t>
        </r>
        <r>
          <rPr>
            <b/>
            <sz val="9"/>
            <color indexed="81"/>
            <rFont val="Tahoma"/>
            <family val="2"/>
          </rPr>
          <t xml:space="preserve">
</t>
        </r>
      </text>
    </comment>
    <comment ref="CW76" authorId="2">
      <text>
        <r>
          <rPr>
            <b/>
            <sz val="9"/>
            <color indexed="81"/>
            <rFont val="Tahoma"/>
            <family val="2"/>
          </rPr>
          <t>Billy Tsekos:</t>
        </r>
        <r>
          <rPr>
            <sz val="9"/>
            <color indexed="81"/>
            <rFont val="Tahoma"/>
            <family val="2"/>
          </rPr>
          <t xml:space="preserve">
Forest landscapes in both protected and off- reserve areas have reduced as a result of encroachment.</t>
        </r>
      </text>
    </comment>
    <comment ref="DG76" authorId="2">
      <text>
        <r>
          <rPr>
            <b/>
            <sz val="9"/>
            <color indexed="81"/>
            <rFont val="Tahoma"/>
            <family val="2"/>
          </rPr>
          <t>Billy Tsekos:</t>
        </r>
        <r>
          <rPr>
            <sz val="9"/>
            <color indexed="81"/>
            <rFont val="Tahoma"/>
            <family val="2"/>
          </rPr>
          <t xml:space="preserve">
Ghana’s emission reduction goal is to unconditionally lower its GHG emissions by 15 percent relative to a business-as-usual (BAU) scenario emission of 73.95Mt CO2 e2  by 2030. 
With Ghana’s GHG emissions per capita of 1.3tCO2e , the full implementation of both unconditional and conditional mitigation contribution will lead to a 0.5 tCO2e reduction in the country’s per capita emissions to 0.8tCO2e by 2030. (Emissions included AFOLU sector.)</t>
        </r>
      </text>
    </comment>
    <comment ref="DK76" authorId="2">
      <text>
        <r>
          <rPr>
            <b/>
            <sz val="9"/>
            <color indexed="81"/>
            <rFont val="Tahoma"/>
            <family val="2"/>
          </rPr>
          <t>Promote Sustainable utilization of forest resources through REDD
-</t>
        </r>
        <r>
          <rPr>
            <sz val="9"/>
            <color indexed="81"/>
            <rFont val="Tahoma"/>
            <family val="2"/>
          </rPr>
          <t xml:space="preserve"> Continue 10,000ha annual reforestation/afforestation of degraded lands
- Double 10,000ha annual reforestation/afforestation of degraded
lands translating to 20,000ha on annual basis
- Support enhancement of forest carbon stocks through 5,000ha per annum
enrichment planting and enforcement of timber felling standards
- 45%14 emission reduction through resultbased emission reduction programme in cocoa landscape.
</t>
        </r>
      </text>
    </comment>
    <comment ref="DL76" authorId="2">
      <text>
        <r>
          <rPr>
            <b/>
            <sz val="9"/>
            <color indexed="81"/>
            <rFont val="Tahoma"/>
            <family val="2"/>
          </rPr>
          <t>Value addition-based utilization of forest resources
-</t>
        </r>
        <r>
          <rPr>
            <sz val="9"/>
            <color indexed="81"/>
            <rFont val="Tahoma"/>
            <family val="2"/>
          </rPr>
          <t xml:space="preserve">Governance reform for utilization of forest resources for sustainable energy use and biodiversity business. 
- Manage 413,000ha fragile, ecologically sensitive and culturally significant sites in 22 administrative district in the forest and savannah areas. </t>
        </r>
      </text>
    </comment>
    <comment ref="DM76" authorId="2">
      <text>
        <r>
          <rPr>
            <b/>
            <sz val="9"/>
            <color indexed="81"/>
            <rFont val="Tahoma"/>
            <family val="2"/>
          </rPr>
          <t>Billy Tsekos:</t>
        </r>
        <r>
          <rPr>
            <sz val="9"/>
            <color indexed="81"/>
            <rFont val="Tahoma"/>
            <family val="2"/>
          </rPr>
          <t xml:space="preserve">
 </t>
        </r>
        <r>
          <rPr>
            <b/>
            <sz val="9"/>
            <color indexed="81"/>
            <rFont val="Tahoma"/>
            <family val="2"/>
          </rPr>
          <t xml:space="preserve">19.53 MtCO2e </t>
        </r>
        <r>
          <rPr>
            <sz val="9"/>
            <color indexed="81"/>
            <rFont val="Tahoma"/>
            <family val="2"/>
          </rPr>
          <t xml:space="preserve">in 2010 
</t>
        </r>
      </text>
    </comment>
    <comment ref="ER76" authorId="0">
      <text>
        <r>
          <rPr>
            <sz val="9"/>
            <color indexed="81"/>
            <rFont val="Tahoma"/>
            <family val="2"/>
          </rPr>
          <t xml:space="preserve">TARGET 10: SPECIES AND HABITATS ARE CONSERVED </t>
        </r>
      </text>
    </comment>
    <comment ref="G77" authorId="2">
      <text>
        <r>
          <rPr>
            <b/>
            <sz val="9"/>
            <color indexed="81"/>
            <rFont val="Tahoma"/>
            <family val="2"/>
          </rPr>
          <t>Billy Tsekos:</t>
        </r>
        <r>
          <rPr>
            <sz val="9"/>
            <color indexed="81"/>
            <rFont val="Tahoma"/>
            <family val="2"/>
          </rPr>
          <t xml:space="preserve">
2014</t>
        </r>
      </text>
    </comment>
    <comment ref="Z77"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 xml:space="preserve">Forest extent of coverage: The forest land including forests and other wooded land, as referred to in the European report on forests of 200733, covers more than half of Greece‟s land (2005 data), with 29.1% being covered by forests and 21.6% being covered by other wooded land. Out of the total number of forests in Greece, 57.5% are predominantly broadleaved forests, whereas 42.5% are predominantly coniferous forests. 
</t>
        </r>
        <r>
          <rPr>
            <b/>
            <sz val="9"/>
            <color indexed="81"/>
            <rFont val="Tahoma"/>
            <family val="2"/>
          </rPr>
          <t xml:space="preserve">NR-P.29: </t>
        </r>
        <r>
          <rPr>
            <sz val="9"/>
            <color indexed="81"/>
            <rFont val="Tahoma"/>
            <family val="2"/>
          </rPr>
          <t>According to data of 200538 the agricultural (total) area of Greece is 3.8 million Ha of which 16% is arable land and 5% permanents crops</t>
        </r>
      </text>
    </comment>
    <comment ref="AH77" authorId="2">
      <text>
        <r>
          <rPr>
            <b/>
            <sz val="9"/>
            <color indexed="81"/>
            <rFont val="Tahoma"/>
            <family val="2"/>
          </rPr>
          <t>Billy Tsekos:</t>
        </r>
        <r>
          <rPr>
            <sz val="9"/>
            <color indexed="81"/>
            <rFont val="Tahoma"/>
            <family val="2"/>
          </rPr>
          <t xml:space="preserve">
</t>
        </r>
        <r>
          <rPr>
            <b/>
            <sz val="9"/>
            <color indexed="81"/>
            <rFont val="Tahoma"/>
            <family val="2"/>
          </rPr>
          <t xml:space="preserve"> NR-P.22:</t>
        </r>
        <r>
          <rPr>
            <sz val="9"/>
            <color indexed="81"/>
            <rFont val="Tahoma"/>
            <family val="2"/>
          </rPr>
          <t xml:space="preserve"> Based on the data of the same report, it arises that the total surface area of forest land in Greece had remained more or less stable between 1990 and 2005 (6,511,000, 6,525,000 and 6,532,000 ha in 1990, 2000 and 2005 respectively). During this period, the surface area of forests presented an increase (3,750,000 ha in 2005 compared to 3,299,000 ha in 1990), however, the surface area of other wooded land presented a similar decrease (2,780,000 ha in 2005 compared to 3,212,000 ha in 1990)</t>
        </r>
      </text>
    </comment>
    <comment ref="AO77" authorId="2">
      <text>
        <r>
          <rPr>
            <b/>
            <sz val="9"/>
            <color indexed="81"/>
            <rFont val="Tahoma"/>
            <family val="2"/>
          </rPr>
          <t>Billy Tsekos:</t>
        </r>
        <r>
          <rPr>
            <sz val="9"/>
            <color indexed="81"/>
            <rFont val="Tahoma"/>
            <family val="2"/>
          </rPr>
          <t xml:space="preserve">
</t>
        </r>
        <r>
          <rPr>
            <b/>
            <sz val="9"/>
            <color indexed="81"/>
            <rFont val="Tahoma"/>
            <family val="2"/>
          </rPr>
          <t>NR-P.18:</t>
        </r>
        <r>
          <rPr>
            <sz val="9"/>
            <color indexed="81"/>
            <rFont val="Tahoma"/>
            <family val="2"/>
          </rPr>
          <t xml:space="preserve"> Degradation: It is estimated that approximately 30% of the soil in the sensitive climate zones of Greece has been subjected to various stages of desertification, a percentage that is presenting a rising tendency.
</t>
        </r>
        <r>
          <rPr>
            <b/>
            <sz val="9"/>
            <color indexed="81"/>
            <rFont val="Tahoma"/>
            <family val="2"/>
          </rPr>
          <t>NR-P.37</t>
        </r>
        <r>
          <rPr>
            <sz val="9"/>
            <color indexed="81"/>
            <rFont val="Tahoma"/>
            <family val="2"/>
          </rPr>
          <t xml:space="preserve">:The catastrophic 2007 fires in central Greece caused the destruction of 147,000 ha of forests and other wooded land, of which 20,700 ha were part of the Natura 2000 sites.
</t>
        </r>
        <r>
          <rPr>
            <b/>
            <sz val="9"/>
            <color indexed="81"/>
            <rFont val="Tahoma"/>
            <family val="2"/>
          </rPr>
          <t xml:space="preserve">
NR-P.38: </t>
        </r>
        <r>
          <rPr>
            <sz val="9"/>
            <color indexed="81"/>
            <rFont val="Tahoma"/>
            <family val="2"/>
          </rPr>
          <t xml:space="preserve">Within 40 years (1925-1965) approximately 67% of the surface area of Greek wetlands has been drained, due to demand for housing and agricultural land. This has resulted mainly in the loss of marshes and a few lakes and rivers. </t>
        </r>
      </text>
    </comment>
    <comment ref="BA77" authorId="2">
      <text>
        <r>
          <rPr>
            <b/>
            <sz val="9"/>
            <color indexed="81"/>
            <rFont val="Tahoma"/>
            <family val="2"/>
          </rPr>
          <t>Billy Tsekos:</t>
        </r>
        <r>
          <rPr>
            <sz val="9"/>
            <color indexed="81"/>
            <rFont val="Tahoma"/>
            <family val="2"/>
          </rPr>
          <t xml:space="preserve">
</t>
        </r>
        <r>
          <rPr>
            <b/>
            <sz val="9"/>
            <color indexed="81"/>
            <rFont val="Tahoma"/>
            <family val="2"/>
          </rPr>
          <t xml:space="preserve">NBSAP-P.77:
</t>
        </r>
        <r>
          <rPr>
            <sz val="9"/>
            <color indexed="81"/>
            <rFont val="Tahoma"/>
            <family val="2"/>
          </rPr>
          <t>Conservation of national natural capital and ecosystem restoration
Organisation and operation of a National System of Protected Areas and enhancement of benefits from their management</t>
        </r>
      </text>
    </comment>
    <comment ref="BH77" authorId="2">
      <text>
        <r>
          <rPr>
            <b/>
            <sz val="9"/>
            <color indexed="81"/>
            <rFont val="Tahoma"/>
            <family val="2"/>
          </rPr>
          <t>Billy Tsekos:</t>
        </r>
        <r>
          <rPr>
            <sz val="9"/>
            <color indexed="81"/>
            <rFont val="Tahoma"/>
            <family val="2"/>
          </rPr>
          <t xml:space="preserve">
</t>
        </r>
        <r>
          <rPr>
            <b/>
            <sz val="9"/>
            <color indexed="81"/>
            <rFont val="Tahoma"/>
            <family val="2"/>
          </rPr>
          <t>NR-P.18: Fragmentation:</t>
        </r>
        <r>
          <rPr>
            <sz val="9"/>
            <color indexed="81"/>
            <rFont val="Tahoma"/>
            <family val="2"/>
          </rPr>
          <t xml:space="preserve"> Until 2000, the average non fragmented parcel size in Greece was between 200 - 250 km2, one of the highest in the European Union18 . A sporadic pattern of urban sprawl, near existing cities but also in rural areas following the expansion of roads and highways has been observed in Greece between 1990- 200019 . A new version of the CORINE Land Cover Data set is expected by the end of 2014 and will support updated assessments.
</t>
        </r>
      </text>
    </comment>
    <comment ref="BI77" authorId="0">
      <text>
        <r>
          <rPr>
            <b/>
            <sz val="9"/>
            <color indexed="81"/>
            <rFont val="Tahoma"/>
            <family val="2"/>
          </rPr>
          <t>NBSAP-P.77:
General Target 2:</t>
        </r>
        <r>
          <rPr>
            <sz val="9"/>
            <color indexed="81"/>
            <rFont val="Tahoma"/>
            <family val="2"/>
          </rPr>
          <t xml:space="preserve"> Conservation of national natural capital and ecosystem restoration
</t>
        </r>
        <r>
          <rPr>
            <b/>
            <sz val="9"/>
            <color indexed="81"/>
            <rFont val="Tahoma"/>
            <family val="2"/>
          </rPr>
          <t xml:space="preserve">
General Target 3:</t>
        </r>
        <r>
          <rPr>
            <sz val="9"/>
            <color indexed="81"/>
            <rFont val="Tahoma"/>
            <family val="2"/>
          </rPr>
          <t xml:space="preserve"> Organisation and operation of a National System of Protected Areas and enhancement of the benefits from their management
</t>
        </r>
        <r>
          <rPr>
            <b/>
            <sz val="9"/>
            <color indexed="81"/>
            <rFont val="Tahoma"/>
            <family val="2"/>
          </rPr>
          <t>General Target 5:</t>
        </r>
        <r>
          <rPr>
            <sz val="9"/>
            <color indexed="81"/>
            <rFont val="Tahoma"/>
            <family val="2"/>
          </rPr>
          <t xml:space="preserve"> Enhancing the synergies among the main sectoral policies for the conservation of biodiversity. Establishing incentives
</t>
        </r>
        <r>
          <rPr>
            <b/>
            <sz val="9"/>
            <color indexed="81"/>
            <rFont val="Tahoma"/>
            <family val="2"/>
          </rPr>
          <t xml:space="preserve">
General Target 7:</t>
        </r>
        <r>
          <rPr>
            <sz val="9"/>
            <color indexed="81"/>
            <rFont val="Tahoma"/>
            <family val="2"/>
          </rPr>
          <t xml:space="preserve"> Prevention and minimisation of the impacts of climate change on biodiversity</t>
        </r>
      </text>
    </comment>
    <comment ref="BL77" authorId="2">
      <text>
        <r>
          <rPr>
            <b/>
            <sz val="9"/>
            <color indexed="81"/>
            <rFont val="Tahoma"/>
            <family val="2"/>
          </rPr>
          <t>Billy Tsekos:</t>
        </r>
        <r>
          <rPr>
            <sz val="9"/>
            <color indexed="81"/>
            <rFont val="Tahoma"/>
            <family val="2"/>
          </rPr>
          <t xml:space="preserve">
</t>
        </r>
        <r>
          <rPr>
            <b/>
            <sz val="9"/>
            <color indexed="81"/>
            <rFont val="Tahoma"/>
            <family val="2"/>
          </rPr>
          <t xml:space="preserve">NR-P.56: </t>
        </r>
        <r>
          <rPr>
            <sz val="9"/>
            <color indexed="81"/>
            <rFont val="Tahoma"/>
            <family val="2"/>
          </rPr>
          <t xml:space="preserve">The overall aim of the Community Forest Action Plan (Commission Communication to the Council and the European Parliament [COM (2006) 302 final]) is to support and enhance sustainable management of forests and their multifunctional role. One of the objectives of the Action Plan, directly related to biodiversity is «To maintain and appropriately enhance biodiversity, carbon sequestration, integrity, health and resilience of forest ecosystems at multiple geographical scales».
</t>
        </r>
        <r>
          <rPr>
            <b/>
            <sz val="9"/>
            <color indexed="81"/>
            <rFont val="Tahoma"/>
            <family val="2"/>
          </rPr>
          <t xml:space="preserve">NBSAP-P.112: </t>
        </r>
      </text>
    </comment>
    <comment ref="BP77" authorId="2">
      <text>
        <r>
          <rPr>
            <b/>
            <sz val="9"/>
            <color indexed="81"/>
            <rFont val="Tahoma"/>
            <family val="2"/>
          </rPr>
          <t>Billy Tsekos:</t>
        </r>
        <r>
          <rPr>
            <sz val="9"/>
            <color indexed="81"/>
            <rFont val="Tahoma"/>
            <family val="2"/>
          </rPr>
          <t xml:space="preserve">
</t>
        </r>
        <r>
          <rPr>
            <b/>
            <sz val="9"/>
            <color indexed="81"/>
            <rFont val="Tahoma"/>
            <family val="2"/>
          </rPr>
          <t xml:space="preserve">NR-P.56: </t>
        </r>
        <r>
          <rPr>
            <sz val="9"/>
            <color indexed="81"/>
            <rFont val="Tahoma"/>
            <family val="2"/>
          </rPr>
          <t xml:space="preserve">FOREST FIRES
</t>
        </r>
      </text>
    </comment>
    <comment ref="BV77" authorId="2">
      <text>
        <r>
          <rPr>
            <b/>
            <sz val="9"/>
            <color indexed="81"/>
            <rFont val="Tahoma"/>
            <family val="2"/>
          </rPr>
          <t>Billy Tsekos:</t>
        </r>
        <r>
          <rPr>
            <sz val="9"/>
            <color indexed="81"/>
            <rFont val="Tahoma"/>
            <family val="2"/>
          </rPr>
          <t xml:space="preserve">
</t>
        </r>
      </text>
    </comment>
    <comment ref="BX77" authorId="2">
      <text>
        <r>
          <rPr>
            <b/>
            <sz val="9"/>
            <color indexed="81"/>
            <rFont val="Tahoma"/>
            <family val="2"/>
          </rPr>
          <t xml:space="preserve">Billy Tsekos:
NR-P.4: </t>
        </r>
        <r>
          <rPr>
            <sz val="9"/>
            <color indexed="81"/>
            <rFont val="Tahoma"/>
            <family val="2"/>
          </rPr>
          <t xml:space="preserve">
</t>
        </r>
        <r>
          <rPr>
            <u/>
            <sz val="9"/>
            <color indexed="81"/>
            <rFont val="Tahoma"/>
            <family val="2"/>
          </rPr>
          <t>The direct causes of the loss of biodiversity in Greece</t>
        </r>
        <r>
          <rPr>
            <sz val="9"/>
            <color indexed="81"/>
            <rFont val="Tahoma"/>
            <family val="2"/>
          </rPr>
          <t xml:space="preserve">
 Loss, modification, degradation and fragmentation of natural and semi-natural habitats; Unsustainable practices used in several types of production activities; Climate change; Soil, water and air pollution; Biological Invasions; Forest fires.
</t>
        </r>
        <r>
          <rPr>
            <u/>
            <sz val="9"/>
            <color indexed="81"/>
            <rFont val="Tahoma"/>
            <family val="2"/>
          </rPr>
          <t xml:space="preserve">
The main underlying causes of biodiversity loss that need to be tackled</t>
        </r>
        <r>
          <rPr>
            <sz val="9"/>
            <color indexed="81"/>
            <rFont val="Tahoma"/>
            <family val="2"/>
          </rPr>
          <t xml:space="preserve">
Lack of knowledge for the state and trends of various biodiversity components; Lack of vision and poor application of sustainability measures in the different economic sectors; Administrative delays in the implementation of physical planning; Poorly enforced existing legal and institutional provisions; Underfinancing of actions related to conservation of genetic resources; Lack of stable management of protected areas.
</t>
        </r>
        <r>
          <rPr>
            <b/>
            <sz val="9"/>
            <color indexed="81"/>
            <rFont val="Tahoma"/>
            <family val="2"/>
          </rPr>
          <t>NR-P.17:</t>
        </r>
        <r>
          <rPr>
            <sz val="9"/>
            <color indexed="81"/>
            <rFont val="Tahoma"/>
            <family val="2"/>
          </rPr>
          <t xml:space="preserve"> </t>
        </r>
        <r>
          <rPr>
            <b/>
            <sz val="9"/>
            <color indexed="81"/>
            <rFont val="Tahoma"/>
            <family val="2"/>
          </rPr>
          <t xml:space="preserve"> (MAP)</t>
        </r>
        <r>
          <rPr>
            <sz val="9"/>
            <color indexed="81"/>
            <rFont val="Tahoma"/>
            <family val="2"/>
          </rPr>
          <t xml:space="preserve"> Between 1990 and 2000 the north eastern and central regions of the country showed a notably high trend of loss of pastures to agricultural land, compared to the average of the EU territory. Similarly three regions showed high trends in loss of land from  agricultural to artificial surfaces (see maps below). About 40,000 ha of agricultural land were converted to urban areas during the same period.161</t>
        </r>
      </text>
    </comment>
    <comment ref="CP77" authorId="2">
      <text>
        <r>
          <rPr>
            <b/>
            <sz val="9"/>
            <color indexed="81"/>
            <rFont val="Tahoma"/>
            <family val="2"/>
          </rPr>
          <t>Billy Tsekos:</t>
        </r>
        <r>
          <rPr>
            <sz val="9"/>
            <color indexed="81"/>
            <rFont val="Tahoma"/>
            <family val="2"/>
          </rPr>
          <t xml:space="preserve">
</t>
        </r>
        <r>
          <rPr>
            <b/>
            <sz val="9"/>
            <color indexed="81"/>
            <rFont val="Tahoma"/>
            <family val="2"/>
          </rPr>
          <t xml:space="preserve">NR-P.39: </t>
        </r>
        <r>
          <rPr>
            <sz val="9"/>
            <color indexed="81"/>
            <rFont val="Tahoma"/>
            <family val="2"/>
          </rPr>
          <t>Climate change is expected to further intensify the loss and degradation of wetlands and their ability to provide man with goods and services. The elimination of the causes of degradation and the improvement of the resilience of wetlands constitute the most effective ways to help them cope with the effects of climate change. The conservation, recovery and restoration of wetlands may form the elements of an overall strategy for dealing with climate change</t>
        </r>
      </text>
    </comment>
    <comment ref="CW77"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The area of forest protected to conserve biodiversity according to MCPFE Assessment Guidelines 2000-2005, increased from 152,000 ha in 2000 to 159,000 ha in 2005</t>
        </r>
      </text>
    </comment>
    <comment ref="Z79" authorId="5">
      <text>
        <r>
          <rPr>
            <sz val="11"/>
            <color theme="1"/>
            <rFont val="Calibri"/>
            <family val="2"/>
            <scheme val="minor"/>
          </rPr>
          <t>pag 37 and forth of the CBD Fifth National Report - Guatemala (Spanish version) and forth</t>
        </r>
      </text>
    </comment>
    <comment ref="AH79" authorId="5">
      <text>
        <r>
          <rPr>
            <sz val="11"/>
            <color theme="1"/>
            <rFont val="Calibri"/>
            <family val="2"/>
            <scheme val="minor"/>
          </rPr>
          <t>pg 38, 39, 40, 41 of the CBD Fifth National Report - Guatemala (Spanish version)</t>
        </r>
      </text>
    </comment>
    <comment ref="AO79" authorId="5">
      <text>
        <r>
          <rPr>
            <sz val="11"/>
            <color theme="1"/>
            <rFont val="Calibri"/>
            <family val="2"/>
            <scheme val="minor"/>
          </rPr>
          <t>pag 37 of the CBD Fifth National Report - Guatemala (Spanish version) and forth</t>
        </r>
      </text>
    </comment>
    <comment ref="AV79" authorId="5">
      <text>
        <r>
          <rPr>
            <sz val="11"/>
            <color theme="1"/>
            <rFont val="Calibri"/>
            <family val="2"/>
            <scheme val="minor"/>
          </rPr>
          <t>pag 37 of the CBD Fifth National Report - Guatemala (Spanish version) and forth</t>
        </r>
      </text>
    </comment>
    <comment ref="BA79" authorId="0">
      <text>
        <r>
          <rPr>
            <b/>
            <sz val="9"/>
            <color indexed="81"/>
            <rFont val="Tahoma"/>
            <family val="2"/>
          </rPr>
          <t xml:space="preserve">No match - Closest found is </t>
        </r>
        <r>
          <rPr>
            <sz val="9"/>
            <color indexed="81"/>
            <rFont val="Tahoma"/>
            <family val="2"/>
          </rPr>
          <t xml:space="preserve">
Meta 8 Al 2022, se habrán puesto en marcha mecanismos para lograr la sostenibilidad en el uso de la diversidad biológica y servicios ecosistémicos en todos los sectores e instituciones del Estado, así como en los niveles nacional, regional y municipal-local.</t>
        </r>
      </text>
    </comment>
    <comment ref="BI79" authorId="5">
      <text>
        <r>
          <rPr>
            <sz val="11"/>
            <color theme="1"/>
            <rFont val="Calibri"/>
            <family val="2"/>
            <scheme val="minor"/>
          </rPr>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r>
      </text>
    </comment>
    <comment ref="BL79" authorId="5">
      <text>
        <r>
          <rPr>
            <sz val="11"/>
            <color theme="1"/>
            <rFont val="Calibri"/>
            <family val="2"/>
            <scheme val="minor"/>
          </rPr>
          <t>pag 131 of the Implementación del Convenio sobre la Diversidad Biológica
en Guatemala: logros y oportunidades document</t>
        </r>
      </text>
    </comment>
    <comment ref="BP79" authorId="5">
      <text>
        <r>
          <rPr>
            <sz val="11"/>
            <color theme="1"/>
            <rFont val="Calibri"/>
            <family val="2"/>
            <scheme val="minor"/>
          </rPr>
          <t>pag 131 of the Implementación del Convenio sobre la Diversidad Biológica
en Guatemala: logros y oportunidades document</t>
        </r>
      </text>
    </comment>
    <comment ref="BT79" authorId="5">
      <text>
        <r>
          <rPr>
            <sz val="11"/>
            <color theme="1"/>
            <rFont val="Calibri"/>
            <family val="2"/>
            <scheme val="minor"/>
          </rPr>
          <t>Meta nacional 5. Al 2022 el
15% de la diversidad biológi-
ca y sus servicios ecosistémi-
cos se habrán restaurado me-
jorando sus capacidades de
adaptación al cambio climá-
tico y contribuyendo a la dis-
minución de la vulnerabilidad
socio ambiental.</t>
        </r>
      </text>
    </comment>
    <comment ref="BX79" authorId="5">
      <text>
        <r>
          <rPr>
            <sz val="11"/>
            <color theme="1"/>
            <rFont val="Calibri"/>
            <family val="2"/>
            <scheme val="minor"/>
          </rPr>
          <t>pag. 13 of the CBD Fifth National Report - Guatemala (Spanish version)</t>
        </r>
      </text>
    </comment>
    <comment ref="CC79" authorId="5">
      <text>
        <r>
          <rPr>
            <sz val="11"/>
            <color theme="1"/>
            <rFont val="Calibri"/>
            <family val="2"/>
            <scheme val="minor"/>
          </rPr>
          <t>pag. 93 and 100 of the CBD Strategy and Action Plan - Guatemala (Spanish version
and
pag. 126 of the Implementación del Convenio sobre la Diversidad Biológica en Guatemala: logros y oportunidades document</t>
        </r>
      </text>
    </comment>
    <comment ref="CH79" authorId="5">
      <text>
        <r>
          <rPr>
            <sz val="11"/>
            <color theme="1"/>
            <rFont val="Calibri"/>
            <family val="2"/>
            <scheme val="minor"/>
          </rPr>
          <t xml:space="preserve">pag. 56 of the CBD Fifth National Report - Guatemala (Spanish version)---&gt; Uno de estos nuevos mecanismos, lo constituye el ambicioso proyecto “Reducción de Emisiones por Deforestación Evitada en la Zona de Usos Múltiples de la RBN”, el cual es una iniciativa que lleva cerca de 8 años de construcción. En esta iniciativa, el CONAP y un gran número de Asociaciones de Concesionarios Forestales pretenden reducir la deforestación, mejorando la gestión y el control forestal, además de obtener ingresos adicionales vía REDD+, que permitan la conservación y valor agregado al bosque en pie de 1,411,377.2 hectáreas en un largo plazo, con beneficios tangibles para las comunidades asentadas en la RBM así como para la diversidad biológica.
</t>
        </r>
      </text>
    </comment>
    <comment ref="CP79" authorId="5">
      <text>
        <r>
          <rPr>
            <sz val="11"/>
            <color theme="1"/>
            <rFont val="Calibri"/>
            <family val="2"/>
            <scheme val="minor"/>
          </rPr>
          <t>pag 112 of the Implementación del Convenio sobre la Diversidad Biológica
en Guatemala: logros y oportunidades document</t>
        </r>
      </text>
    </comment>
    <comment ref="CQ79" authorId="5">
      <text>
        <r>
          <rPr>
            <sz val="11"/>
            <color theme="1"/>
            <rFont val="Calibri"/>
            <family val="2"/>
            <scheme val="minor"/>
          </rPr>
          <t>pag 45 -46 of the CBD Fifth National Report - Guatemala (Spanish version)
pag 38 of the CBD Strategy and Action Plan - Guatemala (Spanish version)</t>
        </r>
      </text>
    </comment>
    <comment ref="CW79" authorId="0">
      <text>
        <r>
          <rPr>
            <b/>
            <sz val="9"/>
            <color indexed="81"/>
            <rFont val="Tahoma"/>
            <family val="2"/>
          </rPr>
          <t>Además, vale la pena men-
cionar que la mayor pérdida de cobertura fo-
restal ocurre dentro del SIGAP, ya que para el
período 2006-2010, tres de cuatro hectáreas
de pérdida de cobertura forestal se encontra-
ban dentro de las áreas protegidas.</t>
        </r>
      </text>
    </comment>
    <comment ref="H80" authorId="2">
      <text>
        <r>
          <rPr>
            <b/>
            <sz val="9"/>
            <color indexed="81"/>
            <rFont val="Calibri"/>
            <family val="2"/>
          </rPr>
          <t>Billy Tsekos:</t>
        </r>
        <r>
          <rPr>
            <sz val="9"/>
            <color indexed="81"/>
            <rFont val="Calibri"/>
            <family val="2"/>
          </rPr>
          <t xml:space="preserve">
2002</t>
        </r>
      </text>
    </comment>
    <comment ref="Z80" authorId="2">
      <text>
        <r>
          <rPr>
            <b/>
            <sz val="9"/>
            <color indexed="81"/>
            <rFont val="Tahoma"/>
            <family val="2"/>
          </rPr>
          <t>Billy Tsekos:</t>
        </r>
        <r>
          <rPr>
            <sz val="9"/>
            <color indexed="81"/>
            <rFont val="Tahoma"/>
            <family val="2"/>
          </rPr>
          <t xml:space="preserve">
</t>
        </r>
        <r>
          <rPr>
            <b/>
            <sz val="9"/>
            <color indexed="81"/>
            <rFont val="Tahoma"/>
            <family val="2"/>
          </rPr>
          <t xml:space="preserve">NR- P.15: 
La moyen Guinee
</t>
        </r>
        <r>
          <rPr>
            <sz val="9"/>
            <color indexed="81"/>
            <rFont val="Tahoma"/>
            <family val="2"/>
          </rPr>
          <t xml:space="preserve"> Le manteau forestier ne couvre que 13% de la région, soit 800 000 ha de forêt dense sèche et 50 000 ha de lambeaux de forêt dense mésophile, reliques de l’ancienne forêt dense d’altitude. Il n’existe plus  réellement de massifs forestiers en dehors de quelques petites forêts classées relativement conservées et de quelques plantations de pins à Dalaba.
</t>
        </r>
        <r>
          <rPr>
            <b/>
            <sz val="9"/>
            <color indexed="81"/>
            <rFont val="Tahoma"/>
            <family val="2"/>
          </rPr>
          <t xml:space="preserve">La Haute Guinee
</t>
        </r>
        <r>
          <rPr>
            <sz val="9"/>
            <color indexed="81"/>
            <rFont val="Tahoma"/>
            <family val="2"/>
          </rPr>
          <t xml:space="preserve">La forêt dense sèche couvre 8,3% de la région, soit 800.000 ha, mais la situation forestière de cette région présente deux aspects contrastés :
• D’une part, dans les zones à forte agglomération où des activités agricoles, minières et pastorales sont pratiquées, la disparition progressive de la forêt entraine de graves problèmes d’érosion des sols, d’origine tant pluviale qu’éolienne, d’ensablement des lits des fleuves, et des difficultés d’approvisionnement en bois d’énergie et de service ainsi que d’autres produits de la forêt (médicaments, gibiers...)
</t>
        </r>
        <r>
          <rPr>
            <b/>
            <sz val="9"/>
            <color indexed="81"/>
            <rFont val="Tahoma"/>
            <family val="2"/>
          </rPr>
          <t xml:space="preserve">
</t>
        </r>
        <r>
          <rPr>
            <sz val="9"/>
            <color indexed="81"/>
            <rFont val="Tahoma"/>
            <family val="2"/>
          </rPr>
          <t>•</t>
        </r>
        <r>
          <rPr>
            <b/>
            <sz val="9"/>
            <color indexed="81"/>
            <rFont val="Tahoma"/>
            <family val="2"/>
          </rPr>
          <t xml:space="preserve"> </t>
        </r>
        <r>
          <rPr>
            <sz val="9"/>
            <color indexed="81"/>
            <rFont val="Tahoma"/>
            <family val="2"/>
          </rPr>
          <t xml:space="preserve">D’autre part, dans les zones peu peuplées et peu accessibles on peut rencontrer des massifs relativement intacts de forêts denses sèches, de 50 à 200 ha de superficie moyenne. Ces massifs occupent principalement le chainon de Niandan Banié qui est nécessaire à l’équilibre écologique de cette région soudanienne. Mais, ces forêts sont fortement menacées par les exploitations anarchiques minières, forestières et fauniques. 
</t>
        </r>
        <r>
          <rPr>
            <b/>
            <sz val="9"/>
            <color indexed="81"/>
            <rFont val="Tahoma"/>
            <family val="2"/>
          </rPr>
          <t xml:space="preserve">
 LA GUINEE FORESTIERE
</t>
        </r>
        <r>
          <rPr>
            <sz val="9"/>
            <color indexed="81"/>
            <rFont val="Tahoma"/>
            <family val="2"/>
          </rPr>
          <t xml:space="preserve">Elle couvre 49 500 km2 ce qui correspond à 20% de la superficie de la Guinée. Elle est située au sud-est de la Guinée. C’est une région de montagne qui englobe divers massifs de la dorsale guinéenne dont le Simandou et le Daro où le Niger prend sa source, et les Monts Nimba point culminant du pays (1752 m). Elle enregistre 1600 à 2800mm d’eau par an ce qui favorise la forêt ombrophile. </t>
        </r>
        <r>
          <rPr>
            <b/>
            <sz val="9"/>
            <color indexed="81"/>
            <rFont val="Tahoma"/>
            <family val="2"/>
          </rPr>
          <t xml:space="preserve">
</t>
        </r>
      </text>
    </comment>
    <comment ref="AH80"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NR-P.37: Palmier à huile </t>
        </r>
        <r>
          <rPr>
            <sz val="9"/>
            <color indexed="81"/>
            <rFont val="Tahoma"/>
            <family val="2"/>
          </rPr>
          <t xml:space="preserve">: La production est d’environ 60 000 t par an. La filière a l’avantage de rapporter des devises car au moins 10 000 tonnes sont exportées vers les pays limitrophes, particulièrement en Guinée Bissau et au Sénégal. </t>
        </r>
      </text>
    </comment>
    <comment ref="BA80" authorId="0">
      <text>
        <r>
          <rPr>
            <b/>
            <sz val="9"/>
            <color indexed="81"/>
            <rFont val="Tahoma"/>
            <family val="2"/>
          </rPr>
          <t xml:space="preserve">5th NR- p.91- </t>
        </r>
        <r>
          <rPr>
            <sz val="9"/>
            <color indexed="81"/>
            <rFont val="Tahoma"/>
            <family val="2"/>
          </rPr>
          <t xml:space="preserve">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r>
      </text>
    </comment>
    <comment ref="BI80" authorId="0">
      <text>
        <r>
          <rPr>
            <b/>
            <sz val="9"/>
            <color indexed="81"/>
            <rFont val="Tahoma"/>
            <family val="2"/>
          </rPr>
          <t xml:space="preserve">5th NR- p.58- </t>
        </r>
        <r>
          <rPr>
            <sz val="9"/>
            <color indexed="81"/>
            <rFont val="Tahoma"/>
            <family val="2"/>
          </rPr>
          <t xml:space="preserve">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r>
      </text>
    </comment>
    <comment ref="BL80" authorId="2">
      <text>
        <r>
          <rPr>
            <b/>
            <sz val="9"/>
            <color indexed="81"/>
            <rFont val="Tahoma"/>
            <family val="2"/>
          </rPr>
          <t xml:space="preserve">Billy Tsekos:
NR-p.91: </t>
        </r>
        <r>
          <rPr>
            <sz val="9"/>
            <color indexed="81"/>
            <rFont val="Tahoma"/>
            <family val="2"/>
          </rPr>
          <t xml:space="preserve">
- L’extension du réseau national d’aires protégées qui est passé de 43 sites à 53 sites touchant les grands groupes
d’écosystèmes.
- La promotion de la création des forêts communautaires et privées. 
</t>
        </r>
      </text>
    </comment>
    <comment ref="BP8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Pour l’année 2014, le programme national de reboisement porte sur une superficie de 1000ha dont la réalisation se fera à travers le programme gouvernemental du Ministère de l’Environnement, des Eaux et Forêts ; 
</t>
        </r>
        <r>
          <rPr>
            <b/>
            <sz val="9"/>
            <color indexed="81"/>
            <rFont val="Tahoma"/>
            <family val="2"/>
          </rPr>
          <t>NR-P.45:</t>
        </r>
        <r>
          <rPr>
            <sz val="9"/>
            <color indexed="81"/>
            <rFont val="Tahoma"/>
            <family val="2"/>
          </rPr>
          <t xml:space="preserve"> La restauration par reboisement et mise en défens de 120 ha de mangrove. 
</t>
        </r>
        <r>
          <rPr>
            <b/>
            <sz val="9"/>
            <color indexed="81"/>
            <rFont val="Tahoma"/>
            <family val="2"/>
          </rPr>
          <t xml:space="preserve">
NR-P.64: </t>
        </r>
        <r>
          <rPr>
            <sz val="9"/>
            <color indexed="81"/>
            <rFont val="Tahoma"/>
            <family val="2"/>
          </rPr>
          <t xml:space="preserve">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t>
        </r>
        <r>
          <rPr>
            <b/>
            <sz val="9"/>
            <color indexed="81"/>
            <rFont val="Tahoma"/>
            <family val="2"/>
          </rPr>
          <t>NR-P.72:</t>
        </r>
        <r>
          <rPr>
            <sz val="9"/>
            <color indexed="81"/>
            <rFont val="Tahoma"/>
            <family val="2"/>
          </rPr>
          <t xml:space="preserve"> Des actions de reboisement ont été réalisée au niveau de la zone côtière (baie de Sangaréah, béreyiré ) et dans certaines communautés rurales de développement (mise en
place des forêts communautaires
</t>
        </r>
      </text>
    </comment>
    <comment ref="BT8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Pour l’année 2014, le programme national de reboisement porte sur une superficie de 1000ha dont la réalisation se fera à travers le programme gouvernemental du Ministère de l’Environnement, des Eaux et Forêts ; 
</t>
        </r>
        <r>
          <rPr>
            <b/>
            <sz val="9"/>
            <color indexed="81"/>
            <rFont val="Tahoma"/>
            <family val="2"/>
          </rPr>
          <t xml:space="preserve">NR-P.45: </t>
        </r>
        <r>
          <rPr>
            <sz val="9"/>
            <color indexed="81"/>
            <rFont val="Tahoma"/>
            <family val="2"/>
          </rPr>
          <t xml:space="preserve">La restauration par reboisement et mise en défens de 120 ha de mangrove. 
</t>
        </r>
        <r>
          <rPr>
            <b/>
            <sz val="9"/>
            <color indexed="81"/>
            <rFont val="Tahoma"/>
            <family val="2"/>
          </rPr>
          <t>NR-P.64</t>
        </r>
        <r>
          <rPr>
            <sz val="9"/>
            <color indexed="81"/>
            <rFont val="Tahoma"/>
            <family val="2"/>
          </rPr>
          <t xml:space="preserve">: 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t>
        </r>
      </text>
    </comment>
    <comment ref="BX80" authorId="2">
      <text>
        <r>
          <rPr>
            <b/>
            <sz val="9"/>
            <color indexed="81"/>
            <rFont val="Tahoma"/>
            <family val="2"/>
          </rPr>
          <t>Billy Tsekos:</t>
        </r>
        <r>
          <rPr>
            <sz val="9"/>
            <color indexed="81"/>
            <rFont val="Tahoma"/>
            <family val="2"/>
          </rPr>
          <t xml:space="preserve">
</t>
        </r>
        <r>
          <rPr>
            <b/>
            <sz val="9"/>
            <color indexed="81"/>
            <rFont val="Tahoma"/>
            <family val="2"/>
          </rPr>
          <t>NR- P.15:</t>
        </r>
        <r>
          <rPr>
            <sz val="9"/>
            <color indexed="81"/>
            <rFont val="Tahoma"/>
            <family val="2"/>
          </rPr>
          <t xml:space="preserve"> [Haute Guinee] dans les zones à forte agglomération où des activités agricoles, minières et pastorales sont pratiquées, la disparition progressive de la forêt entraine de graves problèmes d’érosion des sols, d’origine tant pluviale qu’éolienne, d’ensablement des lits des fleuves, et des difficultés d’approvisionnement en bois d’énergie et de service ainsi que d’autres produits de la forêt.
</t>
        </r>
        <r>
          <rPr>
            <b/>
            <sz val="9"/>
            <color indexed="81"/>
            <rFont val="Tahoma"/>
            <family val="2"/>
          </rPr>
          <t>NR-P.31</t>
        </r>
        <r>
          <rPr>
            <sz val="9"/>
            <color indexed="81"/>
            <rFont val="Tahoma"/>
            <family val="2"/>
          </rPr>
          <t xml:space="preserve">: Ces ressources [forestieres] subissent de nos jours une dégradation accélérée due principalement aux feux de brousse, à la carbonisation, à l’exploitation anarchique dubois de chauffe à des fins diverses (extractions traditionnelles du sel, fumage du poisson, cuisson des briques, etc.), du bois de service et du bois d’oeuvre ainsi qu’aux défrichements culturaux, etc.
</t>
        </r>
        <r>
          <rPr>
            <b/>
            <sz val="9"/>
            <color indexed="81"/>
            <rFont val="Tahoma"/>
            <family val="2"/>
          </rPr>
          <t>NR-P.41:</t>
        </r>
        <r>
          <rPr>
            <sz val="9"/>
            <color indexed="81"/>
            <rFont val="Tahoma"/>
            <family val="2"/>
          </rPr>
          <t xml:space="preserve"> La situation environnementale de la Guinée est caractérisée par la dégradation continue des ressources naturelles (déforestation, érosion et dégradation des sols, pollutions et nuisances, assèchement et ensablement de cours d’eau, perte de biodiversité, urbanisation non contrôlée, exploitation minière, etc.) favorisée et accélérée par la quasi - absence de mécanismes de contrôle et une paupérisation très forte de la population ces dernières années.
</t>
        </r>
        <r>
          <rPr>
            <b/>
            <sz val="9"/>
            <color indexed="81"/>
            <rFont val="Tahoma"/>
            <family val="2"/>
          </rPr>
          <t>NR-P.50:</t>
        </r>
        <r>
          <rPr>
            <sz val="9"/>
            <color indexed="81"/>
            <rFont val="Tahoma"/>
            <family val="2"/>
          </rPr>
          <t xml:space="preserve"> Les feux de brousse constituent un fléau néfaste qui continue de dévaster des étendues considérables. Ces feux sauvages calcinent toutes les ressources forestières soufflent quelquefois des villages entiers.
</t>
        </r>
        <r>
          <rPr>
            <b/>
            <sz val="9"/>
            <color indexed="81"/>
            <rFont val="Tahoma"/>
            <family val="2"/>
          </rPr>
          <t xml:space="preserve">
NR-P.50:</t>
        </r>
        <r>
          <rPr>
            <sz val="9"/>
            <color indexed="81"/>
            <rFont val="Tahoma"/>
            <family val="2"/>
          </rPr>
          <t xml:space="preserve"> la coupe abusive de bois à des fins commerciales devient une activité courante. Tous les écosystèmes sont concernés par la coupe de bois d’oeuvre, de service, de chauffe (cuisines, fours à briques, production de sel, fumage de poisson). Le déclin de la ressource en bois engendre une hausse des prix de la ressource et impacte la bourse des acquéreurs, réduit les stocks pour un potentiel non connu, compromet à terme les besoins des générations futures.
</t>
        </r>
        <r>
          <rPr>
            <b/>
            <sz val="9"/>
            <color indexed="81"/>
            <rFont val="Tahoma"/>
            <family val="2"/>
          </rPr>
          <t xml:space="preserve">
NR-P.51:</t>
        </r>
        <r>
          <rPr>
            <sz val="9"/>
            <color indexed="81"/>
            <rFont val="Tahoma"/>
            <family val="2"/>
          </rPr>
          <t xml:space="preserve"> La mécanisation tout azimut sans précautions contribue à l'appauvrissement des sols par le retournement en profondeur de la couche arable et l’érosion provoquée sur les pentes.
</t>
        </r>
        <r>
          <rPr>
            <b/>
            <sz val="9"/>
            <color indexed="81"/>
            <rFont val="Tahoma"/>
            <family val="2"/>
          </rPr>
          <t xml:space="preserve">
NR-P.51:</t>
        </r>
        <r>
          <rPr>
            <sz val="9"/>
            <color indexed="81"/>
            <rFont val="Tahoma"/>
            <family val="2"/>
          </rPr>
          <t xml:space="preserve"> Les activités d'exploitation minière industrielle et artisanale exercent une forte pression sur la faune, la flore, l’eau, dégradent les paysages et détruit les bas-fonds, déversent des boues rouges dans les cours d’eau
</t>
        </r>
        <r>
          <rPr>
            <b/>
            <sz val="9"/>
            <color indexed="81"/>
            <rFont val="Tahoma"/>
            <family val="2"/>
          </rPr>
          <t xml:space="preserve">
NR-P.51:</t>
        </r>
        <r>
          <rPr>
            <sz val="9"/>
            <color indexed="81"/>
            <rFont val="Tahoma"/>
            <family val="2"/>
          </rPr>
          <t xml:space="preserve"> Les systèmes agricoles inappropriés modifient considérablement les écosystèmes à travers les défrichements, les brûlis et les déboisements excessifs entraînant toute une suite de dégradations des ressources vivant dans les écosystèmes concernés.
</t>
        </r>
        <r>
          <rPr>
            <b/>
            <sz val="9"/>
            <color indexed="81"/>
            <rFont val="Tahoma"/>
            <family val="2"/>
          </rPr>
          <t xml:space="preserve">
NR-P.52:</t>
        </r>
        <r>
          <rPr>
            <sz val="9"/>
            <color indexed="81"/>
            <rFont val="Tahoma"/>
            <family val="2"/>
          </rPr>
          <t xml:space="preserve"> La surface des parcours pastoraux s’amenuise en raison de l’extension de l’agriculture et du développement urbain. Il s’en suit une augmentation de la charge sur les surfaces pastorales, une pression sur les espèces floristiques appétées, le piétinement des sols, la dégradation des écosystèmes. </t>
        </r>
      </text>
    </comment>
    <comment ref="CC80" authorId="2">
      <text>
        <r>
          <rPr>
            <b/>
            <sz val="9"/>
            <color indexed="81"/>
            <rFont val="Tahoma"/>
            <family val="2"/>
          </rPr>
          <t xml:space="preserve">Billy Tsekos:
NR-P.41: </t>
        </r>
        <r>
          <rPr>
            <sz val="9"/>
            <color indexed="81"/>
            <rFont val="Tahoma"/>
            <family val="2"/>
          </rPr>
          <t xml:space="preserve">La situation environnementale de la Guinée est caractérisée par la dégradation continue des ressources naturelles (déforestation, érosion et dégradation des sols, pollutions et nuisances, assèchement et ensablement de cours d’eau, perte de biodiversité, urbanisation non contrôlée, exploitation minière, etc.) favorisée et accélérée par la quasi - absence de mécanismes de contrôle et une paupérisation très forte de la population ces dernières années.
Les principaux défis à relever sont multiples. Pour les surmonter, la politique nationale de l’environnement adoptée en 2012 retient comme axes pour la gestion de la biodiversité : </t>
        </r>
        <r>
          <rPr>
            <b/>
            <sz val="9"/>
            <color indexed="81"/>
            <rFont val="Tahoma"/>
            <family val="2"/>
          </rPr>
          <t xml:space="preserve">
</t>
        </r>
        <r>
          <rPr>
            <sz val="9"/>
            <color indexed="81"/>
            <rFont val="Tahoma"/>
            <family val="2"/>
          </rPr>
          <t xml:space="preserve">
- L’inventaire et l’évaluation des écosystèmes et de la diversité biologique ;
- Le renforcement des périmètres déjà classés par une délimitation, un aménagement et un plan de gestion ;
- Le renforcement des capacités institutionnelles ;
- L’élargissement du réseau national d’aires protégées ;
- La restauration des aires dégradées ;
- La création de nouvelles plantations forestières, pour satisfaire la demande de produits de la forêt ;
- La surveillance continue et l’évaluation de la ressource forestière ;
- Le renforcement de la participation populaire à la conservation de la biodiversité ;
- La création de valeurs par l'utilisation des méthodes qui tout en soutenant les écosystèmes pour le long terme
génèrent des apports financiers pour les populations partenaires (écotourisme, ranch de gibiers etc..)
- La promotion d’une agriculture intégrant la biodiversité et l'environnement ;
- Le renforcement de la législation sur tous les aspects de la biodiversité et de l’environnement ;
- Le renforcement de la recherche en biodiversité et en environnement ;
- La conception d’une stratégie efficace de lutte contre les feux de brousse ;
- L’application de techniques de gestion écologiquement rationnelles des forêts ;
- L’intégration de la biodiversité dans tous les plans nationaux et sectoriels de développement;
- La mise en œuvre de la stratégie nationale de gestion d’aires protégées ;
- Le renforcement de la gestion des aires protégées existantes ;
- La promotion du partage juste et équitable des bénéfices liés à l’exploitation des ressources de la biodiversité ;
- la protection de la biodiversité et la mise en place de bases de données environnementales
- le renforcement de l’identification et la valorisation des savoirs locaux qui participent fortement à la préservation de
la biodiversité ;</t>
        </r>
      </text>
    </comment>
    <comment ref="CP80" authorId="2">
      <text>
        <r>
          <rPr>
            <b/>
            <sz val="9"/>
            <color indexed="81"/>
            <rFont val="Tahoma"/>
            <family val="2"/>
          </rPr>
          <t>Billy Tsekos:</t>
        </r>
        <r>
          <rPr>
            <sz val="9"/>
            <color indexed="81"/>
            <rFont val="Tahoma"/>
            <family val="2"/>
          </rPr>
          <t xml:space="preserve">
</t>
        </r>
        <r>
          <rPr>
            <b/>
            <sz val="9"/>
            <color indexed="81"/>
            <rFont val="Tahoma"/>
            <family val="2"/>
          </rPr>
          <t xml:space="preserve">NR-P.45: </t>
        </r>
        <r>
          <rPr>
            <sz val="9"/>
            <color indexed="81"/>
            <rFont val="Tahoma"/>
            <family val="2"/>
          </rPr>
          <t>Suite au Plan d’Action National d’Adaptation aux changements climatiques (PANA), la Guinée a bénéficié d’un financement du FEM et du PNUD au titre d’un projet dénommé «Renforcement de la Résilience et Adaptation aux impacts négatifs du Changement Climatique dans les Zones Côtières vulnérables de la Guinée». L’objectif global du projet est de renforcer la protection des zones et communautés côtières contre le changement et la variabilité climatiques.</t>
        </r>
      </text>
    </comment>
    <comment ref="CQ80" authorId="2">
      <text>
        <r>
          <rPr>
            <b/>
            <sz val="9"/>
            <color indexed="81"/>
            <rFont val="Tahoma"/>
            <family val="2"/>
          </rPr>
          <t>Billy Tsekos:</t>
        </r>
        <r>
          <rPr>
            <sz val="9"/>
            <color indexed="81"/>
            <rFont val="Tahoma"/>
            <family val="2"/>
          </rPr>
          <t xml:space="preserve">
</t>
        </r>
        <r>
          <rPr>
            <b/>
            <sz val="9"/>
            <color indexed="81"/>
            <rFont val="Tahoma"/>
            <family val="2"/>
          </rPr>
          <t>NR-P.45:</t>
        </r>
        <r>
          <rPr>
            <sz val="9"/>
            <color indexed="81"/>
            <rFont val="Tahoma"/>
            <family val="2"/>
          </rPr>
          <t xml:space="preserve"> Suite au Plan d’Action National d’Adaptation aux changements climatiques (PANA), la Guinée a bénéficié d’un financement du FEM et du PNUD au titre d’un projet dénommé «Renforcement de la Résilience et Adaptation aux impacts négatifs du Changement Climatique dans les Zones Côtières vulnérables de la Guinée». L’objectif global du projet est de renforcer la protection des zones et communautés côtières contre le changement et la variabilité climatiques.
</t>
        </r>
        <r>
          <rPr>
            <b/>
            <sz val="9"/>
            <color indexed="81"/>
            <rFont val="Tahoma"/>
            <family val="2"/>
          </rPr>
          <t xml:space="preserve">NR-P.82: </t>
        </r>
        <r>
          <rPr>
            <sz val="9"/>
            <color indexed="81"/>
            <rFont val="Tahoma"/>
            <family val="2"/>
          </rPr>
          <t xml:space="preserve">OBJECTIF PRINCIPAL III : MESURES GENERALES DE CONSERVATION ET D’UTILISATION DURABLE DE LA DIVERSITE BIOLOGIQUE 
</t>
        </r>
        <r>
          <rPr>
            <b/>
            <sz val="9"/>
            <color indexed="81"/>
            <rFont val="Tahoma"/>
            <family val="2"/>
          </rPr>
          <t>Cible:</t>
        </r>
        <r>
          <rPr>
            <sz val="9"/>
            <color indexed="81"/>
            <rFont val="Tahoma"/>
            <family val="2"/>
          </rPr>
          <t xml:space="preserve"> Introduire des réglementations environnementales dans le processus de planification
des paysages en considérant la stabilité écologique, la capacité et la vulnérabilité des
écosystèmes</t>
        </r>
      </text>
    </comment>
    <comment ref="CV80"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NR-P.9: </t>
        </r>
        <r>
          <rPr>
            <sz val="9"/>
            <color indexed="81"/>
            <rFont val="Tahoma"/>
            <family val="2"/>
          </rPr>
          <t>Progrès accomplis en vue d’atteindre les objectifs d’Aichi relatifs à la diversité biologique et contributions apportées aux cibles 2015 des Objectifs du Millénaire pour le développement:</t>
        </r>
        <r>
          <rPr>
            <b/>
            <sz val="9"/>
            <color indexed="81"/>
            <rFont val="Tahoma"/>
            <family val="2"/>
          </rPr>
          <t xml:space="preserve">
</t>
        </r>
        <r>
          <rPr>
            <sz val="9"/>
            <color indexed="81"/>
            <rFont val="Tahoma"/>
            <family val="2"/>
          </rPr>
          <t xml:space="preserve">
- La poursuite de la mise en place de la ceinture verte qui couvre 8 préfectures de la zone nord pour contrer la désertification
</t>
        </r>
        <r>
          <rPr>
            <b/>
            <sz val="9"/>
            <color indexed="81"/>
            <rFont val="Tahoma"/>
            <family val="2"/>
          </rPr>
          <t>NR-P.65:</t>
        </r>
        <r>
          <rPr>
            <sz val="9"/>
            <color indexed="81"/>
            <rFont val="Tahoma"/>
            <family val="2"/>
          </rPr>
          <t xml:space="preserve"> La Guinee exécute le Programme régional d’aménagement intégré du massif du Fouta-Djalon initié par l’Organisation de l’Unité Africaine d’alors et par l’Organisation des Nations Unies est conçu comme une action prioritaire du plan de lutte contre la désertification, la sécheresse et les autres calamités.</t>
        </r>
      </text>
    </comment>
    <comment ref="CW80" authorId="2">
      <text>
        <r>
          <rPr>
            <b/>
            <sz val="9"/>
            <color indexed="81"/>
            <rFont val="Tahoma"/>
            <family val="2"/>
          </rPr>
          <t>Billy Tsekos:</t>
        </r>
        <r>
          <rPr>
            <sz val="9"/>
            <color indexed="81"/>
            <rFont val="Tahoma"/>
            <family val="2"/>
          </rPr>
          <t xml:space="preserve">
</t>
        </r>
        <r>
          <rPr>
            <b/>
            <sz val="9"/>
            <color indexed="81"/>
            <rFont val="Tahoma"/>
            <family val="2"/>
          </rPr>
          <t>NR-P.52:</t>
        </r>
        <r>
          <rPr>
            <sz val="9"/>
            <color indexed="81"/>
            <rFont val="Tahoma"/>
            <family val="2"/>
          </rPr>
          <t xml:space="preserve"> Si le taux de couverture en aires protégées a connu un accroissement sur le plan national (8% en 2010 à 15% en 2014), les activités d’exploitation des ressources ont eu un impact négatif sur le plan de la conservation (défrichements culturaux, braconnage, etc.) et du bien être humain. 
</t>
        </r>
        <r>
          <rPr>
            <b/>
            <sz val="9"/>
            <color indexed="81"/>
            <rFont val="Tahoma"/>
            <family val="2"/>
          </rPr>
          <t>NR-P.93:</t>
        </r>
        <r>
          <rPr>
            <sz val="9"/>
            <color indexed="81"/>
            <rFont val="Tahoma"/>
            <family val="2"/>
          </rPr>
          <t xml:space="preserve"> L’extension du réseau national d’aires protégées qui est passé de 43 sites à 53 sites et la promotion de la création des forêts communautaires et privées touchent les grands groupesd’écosystèmes. Dans le cadre des Acquisition d’un accroissement de 4% de couverture en aires protégées depuis le 4ème rapport</t>
        </r>
      </text>
    </comment>
    <comment ref="DK80" authorId="2">
      <text>
        <r>
          <rPr>
            <b/>
            <sz val="9"/>
            <color indexed="81"/>
            <rFont val="Tahoma"/>
            <family val="2"/>
          </rPr>
          <t>Billy Tsekos:</t>
        </r>
        <r>
          <rPr>
            <sz val="9"/>
            <color indexed="81"/>
            <rFont val="Tahoma"/>
            <family val="2"/>
          </rPr>
          <t xml:space="preserve">
The mitigation potential of this commitment is calculated as a total of 34m tonnes CO2eq over the next 15 years.
●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
● Run reafforestation programmes throughout the country, covering 10,000 ha per year, and ensure sustainable management of replanted areas;
●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
</t>
        </r>
      </text>
    </comment>
    <comment ref="DL80" authorId="2">
      <text>
        <r>
          <rPr>
            <b/>
            <sz val="9"/>
            <color indexed="81"/>
            <rFont val="Tahoma"/>
            <family val="2"/>
          </rPr>
          <t>Billy Tsekos:</t>
        </r>
        <r>
          <rPr>
            <sz val="9"/>
            <color indexed="81"/>
            <rFont val="Tahoma"/>
            <family val="2"/>
          </rPr>
          <t xml:space="preserve">
- Preserve and restore the riparian forests at the spring heads and along the banks, in particular on cross-border watercourses;
- Update the Mangrove Management and Development Plan (SDAM) ;
- Reduce the sources of mangrove degradation;
</t>
        </r>
      </text>
    </comment>
    <comment ref="DM80" authorId="2">
      <text>
        <r>
          <rPr>
            <b/>
            <sz val="9"/>
            <color indexed="81"/>
            <rFont val="Tahoma"/>
            <family val="2"/>
          </rPr>
          <t>Billy Tsekos:</t>
        </r>
        <r>
          <rPr>
            <sz val="9"/>
            <color indexed="81"/>
            <rFont val="Tahoma"/>
            <family val="2"/>
          </rPr>
          <t xml:space="preserve">
- GHG emissions: </t>
        </r>
        <r>
          <rPr>
            <b/>
            <sz val="9"/>
            <color indexed="81"/>
            <rFont val="Tahoma"/>
            <family val="2"/>
          </rPr>
          <t>2.1 tonnes CO2eq/per capita in 1994</t>
        </r>
      </text>
    </comment>
    <comment ref="DN80" authorId="2">
      <text>
        <r>
          <rPr>
            <b/>
            <sz val="9"/>
            <color indexed="81"/>
            <rFont val="Tahoma"/>
            <family val="2"/>
          </rPr>
          <t>Billy Tsekos:</t>
        </r>
        <r>
          <rPr>
            <sz val="9"/>
            <color indexed="81"/>
            <rFont val="Tahoma"/>
            <family val="2"/>
          </rPr>
          <t xml:space="preserve">
21%</t>
        </r>
      </text>
    </comment>
    <comment ref="DO80" authorId="2">
      <text>
        <r>
          <rPr>
            <b/>
            <sz val="9"/>
            <color indexed="81"/>
            <rFont val="Tahoma"/>
            <family val="2"/>
          </rPr>
          <t>Billy Tsekos:</t>
        </r>
        <r>
          <rPr>
            <sz val="9"/>
            <color indexed="81"/>
            <rFont val="Tahoma"/>
            <family val="2"/>
          </rPr>
          <t xml:space="preserve">
14% = only agriculture </t>
        </r>
      </text>
    </comment>
    <comment ref="H81" authorId="2">
      <text>
        <r>
          <rPr>
            <b/>
            <sz val="9"/>
            <color indexed="81"/>
            <rFont val="Calibri"/>
            <family val="2"/>
          </rPr>
          <t>Billy Tsekos:</t>
        </r>
        <r>
          <rPr>
            <sz val="9"/>
            <color indexed="81"/>
            <rFont val="Calibri"/>
            <family val="2"/>
          </rPr>
          <t xml:space="preserve">
2016</t>
        </r>
      </text>
    </comment>
    <comment ref="W81" authorId="2">
      <text>
        <r>
          <rPr>
            <b/>
            <sz val="9"/>
            <color indexed="81"/>
            <rFont val="Tahoma"/>
            <family val="2"/>
          </rPr>
          <t>Billy Tsekos:</t>
        </r>
        <r>
          <rPr>
            <sz val="9"/>
            <color indexed="81"/>
            <rFont val="Tahoma"/>
            <family val="2"/>
          </rPr>
          <t xml:space="preserve">
Nearly 10% of its territory is covered by mangrove, perhaps the most significant proportion of the world. Currently about 15% of the country’s land and maritime territory is a sanctuary for the preservation of biodiversity and this percentage is expected to increase to 26% in 2020.
</t>
        </r>
      </text>
    </comment>
    <comment ref="Z81"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 xml:space="preserve"> In 1978 the first forest inventory of the country was conducted by SCET International, which estimated a 2,344,950 ha forest area. Seven years later, i.e. in 1985, the Atlanta Enquiries estimated the forest area as only 2,030,284 ha. Comparing the results of these two estimates, points to a reduction of about 314,666 ha of forest cover in just seven years. On the basis of this comparison, it is assumed that the country loses about 45,000 ha of its forest annually. If so, by 2013, the vegetation cover of the count.</t>
        </r>
      </text>
    </comment>
    <comment ref="AH81" authorId="2">
      <text>
        <r>
          <rPr>
            <b/>
            <sz val="9"/>
            <color indexed="81"/>
            <rFont val="Tahoma"/>
            <family val="2"/>
          </rPr>
          <t>Billy Tsekos:</t>
        </r>
        <r>
          <rPr>
            <sz val="9"/>
            <color indexed="81"/>
            <rFont val="Tahoma"/>
            <family val="2"/>
          </rPr>
          <t xml:space="preserve">
</t>
        </r>
        <r>
          <rPr>
            <b/>
            <sz val="9"/>
            <color indexed="81"/>
            <rFont val="Tahoma"/>
            <family val="2"/>
          </rPr>
          <t>NR-p.33:</t>
        </r>
        <r>
          <rPr>
            <sz val="9"/>
            <color indexed="81"/>
            <rFont val="Tahoma"/>
            <family val="2"/>
          </rPr>
          <t xml:space="preserve">  Data from the General Directorate of Forests and Fauna point to about 45,000 hectares of natural vegetation disappears annually as a result of the effects of fires. Other sources are more critical pointing to 60,000 and even 80,000 Hectares / year.</t>
        </r>
      </text>
    </comment>
    <comment ref="AO81" authorId="2">
      <text>
        <r>
          <rPr>
            <b/>
            <sz val="9"/>
            <color indexed="81"/>
            <rFont val="Tahoma"/>
            <family val="2"/>
          </rPr>
          <t>Billy Tsekos:</t>
        </r>
        <r>
          <rPr>
            <sz val="9"/>
            <color indexed="81"/>
            <rFont val="Tahoma"/>
            <family val="2"/>
          </rPr>
          <t xml:space="preserve">
N</t>
        </r>
        <r>
          <rPr>
            <b/>
            <sz val="9"/>
            <color indexed="81"/>
            <rFont val="Tahoma"/>
            <family val="2"/>
          </rPr>
          <t xml:space="preserve">R-P.44: </t>
        </r>
        <r>
          <rPr>
            <sz val="9"/>
            <color indexed="81"/>
            <rFont val="Tahoma"/>
            <family val="2"/>
          </rPr>
          <t>It is estimated that each year between 50,000 to 80,000 ha of forest in Guinea-Bissau are degraded annually by fires of different origins, including those arising in the context of shifting cultivation, the expansion of the areas used in the regeneration of pastures and swamp hunting with the aid of fire, and fires from various origins (exploitation of honey, carelessness and arson, etc..).</t>
        </r>
      </text>
    </comment>
    <comment ref="BA81" authorId="2">
      <text>
        <r>
          <rPr>
            <b/>
            <sz val="9"/>
            <color indexed="81"/>
            <rFont val="Tahoma"/>
            <family val="2"/>
          </rPr>
          <t>Billy Tsekos:</t>
        </r>
        <r>
          <rPr>
            <sz val="9"/>
            <color indexed="81"/>
            <rFont val="Tahoma"/>
            <family val="2"/>
          </rPr>
          <t xml:space="preserve">
</t>
        </r>
        <r>
          <rPr>
            <b/>
            <sz val="9"/>
            <color indexed="81"/>
            <rFont val="Tahoma"/>
            <family val="2"/>
          </rPr>
          <t>NBSAP- P.134: National goal 5:</t>
        </r>
        <r>
          <rPr>
            <sz val="9"/>
            <color indexed="81"/>
            <rFont val="Tahoma"/>
            <family val="2"/>
          </rPr>
          <t xml:space="preserve"> By the year 2020, to reduce more than half the degradation and fragmentation of the habitats and ecosystems, mainly, forests andmore sensitive ecosystems, provoked by illegal activities</t>
        </r>
      </text>
    </comment>
    <comment ref="BC81" authorId="2">
      <text>
        <r>
          <rPr>
            <b/>
            <sz val="9"/>
            <color indexed="81"/>
            <rFont val="Tahoma"/>
            <family val="2"/>
          </rPr>
          <t>Billy Tsekos:</t>
        </r>
        <r>
          <rPr>
            <sz val="9"/>
            <color indexed="81"/>
            <rFont val="Tahoma"/>
            <family val="2"/>
          </rPr>
          <t xml:space="preserve">
reduce more than half the degradation and fragmentation of the habitats and ecosystems</t>
        </r>
      </text>
    </comment>
    <comment ref="BD81" authorId="2">
      <text>
        <r>
          <rPr>
            <b/>
            <sz val="9"/>
            <color indexed="81"/>
            <rFont val="Tahoma"/>
            <family val="2"/>
          </rPr>
          <t>Billy Tsekos:</t>
        </r>
        <r>
          <rPr>
            <sz val="9"/>
            <color indexed="81"/>
            <rFont val="Tahoma"/>
            <family val="2"/>
          </rPr>
          <t xml:space="preserve">
2020</t>
        </r>
      </text>
    </comment>
    <comment ref="BH81" authorId="2">
      <text>
        <r>
          <rPr>
            <b/>
            <sz val="9"/>
            <color indexed="81"/>
            <rFont val="Tahoma"/>
            <family val="2"/>
          </rPr>
          <t>Billy Tsekos:
NBSAP-P.113:</t>
        </r>
        <r>
          <rPr>
            <sz val="9"/>
            <color indexed="81"/>
            <rFont val="Tahoma"/>
            <family val="2"/>
          </rPr>
          <t xml:space="preserve">
To reduce the degradation and the fragmentation of the habitats and of the forest and other  ecosystems equally sensitive, efforts should be adjusted in several perspective, namely:
</t>
        </r>
        <r>
          <rPr>
            <b/>
            <sz val="9"/>
            <color indexed="81"/>
            <rFont val="Tahoma"/>
            <family val="2"/>
          </rPr>
          <t xml:space="preserve"> i)</t>
        </r>
        <r>
          <rPr>
            <sz val="9"/>
            <color indexed="81"/>
            <rFont val="Tahoma"/>
            <family val="2"/>
          </rPr>
          <t xml:space="preserve"> in the accomplishment of a national inventory of the flora, fauna, orchards of perennial cultures of revenue and of community forests;
</t>
        </r>
        <r>
          <rPr>
            <b/>
            <sz val="9"/>
            <color indexed="81"/>
            <rFont val="Tahoma"/>
            <family val="2"/>
          </rPr>
          <t xml:space="preserve"> ii)</t>
        </r>
        <r>
          <rPr>
            <sz val="9"/>
            <color indexed="81"/>
            <rFont val="Tahoma"/>
            <family val="2"/>
          </rPr>
          <t xml:space="preserve"> in the establishment of a mentor plan of the forest planning and Ecological agriculture;
</t>
        </r>
        <r>
          <rPr>
            <b/>
            <sz val="9"/>
            <color indexed="81"/>
            <rFont val="Tahoma"/>
            <family val="2"/>
          </rPr>
          <t xml:space="preserve"> iii</t>
        </r>
        <r>
          <rPr>
            <sz val="9"/>
            <color indexed="81"/>
            <rFont val="Tahoma"/>
            <family val="2"/>
          </rPr>
          <t xml:space="preserve">) in the restoration of the ecosystems and degraded habitats of the wild fauna;
</t>
        </r>
        <r>
          <rPr>
            <b/>
            <sz val="9"/>
            <color indexed="81"/>
            <rFont val="Tahoma"/>
            <family val="2"/>
          </rPr>
          <t xml:space="preserve"> iv</t>
        </r>
        <r>
          <rPr>
            <sz val="9"/>
            <color indexed="81"/>
            <rFont val="Tahoma"/>
            <family val="2"/>
          </rPr>
          <t xml:space="preserve">) in the establishment of “systems of applicable protection” applicable to the rights of some lands (including the margins of the rivers);
</t>
        </r>
        <r>
          <rPr>
            <b/>
            <sz val="9"/>
            <color indexed="81"/>
            <rFont val="Tahoma"/>
            <family val="2"/>
          </rPr>
          <t xml:space="preserve"> v</t>
        </r>
        <r>
          <rPr>
            <sz val="9"/>
            <color indexed="81"/>
            <rFont val="Tahoma"/>
            <family val="2"/>
          </rPr>
          <t xml:space="preserve">) in theimprovement of the efficiency of control, patrol, supervision and follow up of faunal migratory
species; 
</t>
        </r>
        <r>
          <rPr>
            <b/>
            <sz val="9"/>
            <color indexed="81"/>
            <rFont val="Tahoma"/>
            <family val="2"/>
          </rPr>
          <t>Iv)</t>
        </r>
        <r>
          <rPr>
            <sz val="9"/>
            <color indexed="81"/>
            <rFont val="Tahoma"/>
            <family val="2"/>
          </rPr>
          <t xml:space="preserve"> in the promotion of alternative techniques and technologies friend of the environment; vii) in the scrupulous respect of the moratorium instituted by the government, relatively to the wood export in trunk, etc. </t>
        </r>
      </text>
    </comment>
    <comment ref="BI81" authorId="2">
      <text>
        <r>
          <rPr>
            <b/>
            <sz val="9"/>
            <color indexed="81"/>
            <rFont val="Tahoma"/>
            <family val="2"/>
          </rPr>
          <t>Billy Tsekos:
NBSAP-P.144</t>
        </r>
        <r>
          <rPr>
            <sz val="9"/>
            <color indexed="81"/>
            <rFont val="Tahoma"/>
            <family val="2"/>
          </rPr>
          <t xml:space="preserve">
</t>
        </r>
        <r>
          <rPr>
            <b/>
            <sz val="9"/>
            <color indexed="81"/>
            <rFont val="Tahoma"/>
            <family val="2"/>
          </rPr>
          <t xml:space="preserve">National Goal 15: </t>
        </r>
        <r>
          <rPr>
            <sz val="9"/>
            <color indexed="81"/>
            <rFont val="Tahoma"/>
            <family val="2"/>
          </rPr>
          <t xml:space="preserve">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t>
        </r>
        <r>
          <rPr>
            <b/>
            <sz val="9"/>
            <color indexed="81"/>
            <rFont val="Tahoma"/>
            <family val="2"/>
          </rPr>
          <t>NBSAP-p.139</t>
        </r>
        <r>
          <rPr>
            <sz val="9"/>
            <color indexed="81"/>
            <rFont val="Tahoma"/>
            <family val="2"/>
          </rPr>
          <t xml:space="preserve">
</t>
        </r>
        <r>
          <rPr>
            <b/>
            <sz val="9"/>
            <color indexed="81"/>
            <rFont val="Tahoma"/>
            <family val="2"/>
          </rPr>
          <t xml:space="preserve">National goal 10: </t>
        </r>
        <r>
          <rPr>
            <sz val="9"/>
            <color indexed="81"/>
            <rFont val="Tahoma"/>
            <family val="2"/>
          </rPr>
          <t>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r>
      </text>
    </comment>
    <comment ref="BL81" authorId="2">
      <text>
        <r>
          <rPr>
            <b/>
            <sz val="9"/>
            <color indexed="81"/>
            <rFont val="Tahoma"/>
            <family val="2"/>
          </rPr>
          <t xml:space="preserve">Billy Tsekos:
NBSAP-P.145: </t>
        </r>
        <r>
          <rPr>
            <sz val="9"/>
            <color indexed="81"/>
            <rFont val="Tahoma"/>
            <family val="2"/>
          </rPr>
          <t xml:space="preserve">
- To review and to compile information on the possible contribution of the principal ecosystems in the retention and in the storage of carbon to increase the participation of the biological diversity and the resilience of the ecosystems in the storage of carbon
- To promote conservation actions and the sustainable use of the biodiversity which contribute actively to the mitigation and the adaptation to the climate change
-To assure that mitigation actions and adaptation to the climate change consider the requirements of biodiversity conservation appropriately.
- To continue and to improve the measuring process of the forest systems roles as drains of carbon and in the adaptation to the climate change
</t>
        </r>
      </text>
    </comment>
    <comment ref="BP81" authorId="2">
      <text>
        <r>
          <rPr>
            <b/>
            <sz val="9"/>
            <color indexed="81"/>
            <rFont val="Tahoma"/>
            <family val="2"/>
          </rPr>
          <t xml:space="preserve">Billy Tsekos:
NBSAP-P.109 - Nationlal Priority: </t>
        </r>
        <r>
          <rPr>
            <sz val="9"/>
            <color indexed="81"/>
            <rFont val="Tahoma"/>
            <family val="2"/>
          </rPr>
          <t xml:space="preserve">To restore areas and degraded ecosystems and improve the productivity of the lands and their durability through the fight against the burning, the coastal erosion and water, the salinization and acidification of the soils, the management of the superficial and underground water
</t>
        </r>
        <r>
          <rPr>
            <b/>
            <sz val="9"/>
            <color indexed="81"/>
            <rFont val="Tahoma"/>
            <family val="2"/>
          </rPr>
          <t xml:space="preserve">
NBSAP-P.145: </t>
        </r>
        <r>
          <rPr>
            <sz val="9"/>
            <color indexed="81"/>
            <rFont val="Tahoma"/>
            <family val="2"/>
          </rPr>
          <t xml:space="preserve">
- To maintain or to restore the species adaptation capacity and the capacity of keyhabitat recovery which work as drains or reservoirs of carbon
</t>
        </r>
        <r>
          <rPr>
            <b/>
            <sz val="9"/>
            <color indexed="81"/>
            <rFont val="Tahoma"/>
            <family val="2"/>
          </rPr>
          <t>NBSAP-P.134...</t>
        </r>
      </text>
    </comment>
    <comment ref="BT81" authorId="2">
      <text>
        <r>
          <rPr>
            <b/>
            <sz val="9"/>
            <color indexed="81"/>
            <rFont val="Tahoma"/>
            <family val="2"/>
          </rPr>
          <t>Billy Tsekos:</t>
        </r>
        <r>
          <rPr>
            <sz val="9"/>
            <color indexed="81"/>
            <rFont val="Tahoma"/>
            <family val="2"/>
          </rPr>
          <t xml:space="preserve">
</t>
        </r>
        <r>
          <rPr>
            <b/>
            <sz val="9"/>
            <color indexed="81"/>
            <rFont val="Tahoma"/>
            <family val="2"/>
          </rPr>
          <t>NBSAP-p.139:</t>
        </r>
        <r>
          <rPr>
            <sz val="9"/>
            <color indexed="81"/>
            <rFont val="Tahoma"/>
            <family val="2"/>
          </rPr>
          <t xml:space="preserve"> To promote the rehabilitation or supportive natural regeneration or intervention where the mangroves ecosystems don't have self-renovation capacity, including the restoration of hydrological regime and/or the mangroves plantation</t>
        </r>
      </text>
    </comment>
    <comment ref="BX81" authorId="2">
      <text>
        <r>
          <rPr>
            <b/>
            <sz val="9"/>
            <color indexed="81"/>
            <rFont val="Tahoma"/>
            <family val="2"/>
          </rPr>
          <t>Billy Tsekos:
NBSAP-P.57:
Direct causes of the biodiversity and the ecosystems servicesdegradation</t>
        </r>
        <r>
          <rPr>
            <sz val="9"/>
            <color indexed="81"/>
            <rFont val="Tahoma"/>
            <family val="2"/>
          </rPr>
          <t xml:space="preserve">
There are however several factors of pressure originated by men's activities, associated to the forest degradation, fragmentation of the habitats and, consequently, the biodiversity loss in the country: the practice of the traditional agriculture with base on cutting and burning of the vegetable biomass; the appearance and the wild expansion of cashew orchards; the growing production and firewood search and vegetable coal for domestic use as source of energy; the galloping exploitation of the wood for export and for the production of furniture; the incessant demand of the “cibe” and the natural palm tree for construction of houses; the extensive pasturing, and the emergence of new population agglomerations. In the wet, coastal and marine zones, the incessant urbanization and construction of infrastructures still increase, the flooded agriculture on the mangroves soils, the use of forbidden arts and the fishing of certain species, the appearance of human camps in the handmade fishing, the use of wrenches and the
overfishing of species of high commercial value, among other factors. </t>
        </r>
      </text>
    </comment>
    <comment ref="CC81" authorId="2">
      <text>
        <r>
          <rPr>
            <b/>
            <sz val="9"/>
            <color indexed="81"/>
            <rFont val="Tahoma"/>
            <family val="2"/>
          </rPr>
          <t>Billy Tsekos:</t>
        </r>
        <r>
          <rPr>
            <sz val="9"/>
            <color indexed="81"/>
            <rFont val="Tahoma"/>
            <family val="2"/>
          </rPr>
          <t xml:space="preserve">
</t>
        </r>
        <r>
          <rPr>
            <b/>
            <sz val="9"/>
            <color indexed="81"/>
            <rFont val="Tahoma"/>
            <family val="2"/>
          </rPr>
          <t>NBSAP-P.82:</t>
        </r>
        <r>
          <rPr>
            <sz val="9"/>
            <color indexed="81"/>
            <rFont val="Tahoma"/>
            <family val="2"/>
          </rPr>
          <t xml:space="preserve"> Plan of fighting against the desertification
</t>
        </r>
        <r>
          <rPr>
            <b/>
            <sz val="9"/>
            <color indexed="81"/>
            <rFont val="Tahoma"/>
            <family val="2"/>
          </rPr>
          <t xml:space="preserve">NBSAP-P.102: </t>
        </r>
        <r>
          <rPr>
            <sz val="9"/>
            <color indexed="81"/>
            <rFont val="Tahoma"/>
            <family val="2"/>
          </rPr>
          <t xml:space="preserve">Actions of fighting against the deforestation and for reduction of the forest degradation
</t>
        </r>
        <r>
          <rPr>
            <b/>
            <sz val="9"/>
            <color indexed="81"/>
            <rFont val="Tahoma"/>
            <family val="2"/>
          </rPr>
          <t>NBSAP-P.112</t>
        </r>
        <r>
          <rPr>
            <sz val="9"/>
            <color indexed="81"/>
            <rFont val="Tahoma"/>
            <family val="2"/>
          </rPr>
          <t xml:space="preserve">: see fragmentation column
</t>
        </r>
      </text>
    </comment>
    <comment ref="CH81" authorId="2">
      <text>
        <r>
          <rPr>
            <b/>
            <sz val="9"/>
            <color indexed="81"/>
            <rFont val="Tahoma"/>
            <family val="2"/>
          </rPr>
          <t xml:space="preserve">Billy Tsekos:
NBSAP-P.50:  </t>
        </r>
        <r>
          <rPr>
            <sz val="9"/>
            <color indexed="81"/>
            <rFont val="Tahoma"/>
            <family val="2"/>
          </rPr>
          <t xml:space="preserve">In fact, in the ambit of the mitigation mechanisms and combat against the effects of climate changes, the regeneration of the degraded forest vegetation that allows the confirming settlement of carbon or the reduction of CO2 emissions, it can be a financing object. Guinea-Bissau is preparing a project - REDD (Reduced Emissions from Deforestation and Degradation), which seeks the access to the international market of carbon credit, estimated in potential wealth of 89 American dollars per capita in benefit of the country. 
</t>
        </r>
        <r>
          <rPr>
            <b/>
            <sz val="9"/>
            <color indexed="81"/>
            <rFont val="Tahoma"/>
            <family val="2"/>
          </rPr>
          <t>NBSAP-P.5127:</t>
        </r>
        <r>
          <rPr>
            <sz val="9"/>
            <color indexed="81"/>
            <rFont val="Tahoma"/>
            <family val="2"/>
          </rPr>
          <t xml:space="preserve"> It is through REDD+ outlines (projects or programs) that the protected areas can be benefitted by the voluntary carbon market. The eligibility is justified for the importance of the protection system while barrier against the deforestation and conservation of the biodiversity. The protected areas do not just inhibit the deforestation in their limits, they also exert a reducer effect in the regional deforestation, above all in the areas on strong anthropic pressure with threat to the integrity of the forest in progress. It is particularly interesting that Guinea-Bissau develops a government program for the control of the deforestation, involving their group of protected areas, opting to motivate the development of isolated projects of REDD+ in other situations.</t>
        </r>
      </text>
    </comment>
    <comment ref="CJ81" authorId="2">
      <text>
        <r>
          <rPr>
            <b/>
            <sz val="9"/>
            <color indexed="81"/>
            <rFont val="Tahoma"/>
            <family val="2"/>
          </rPr>
          <t xml:space="preserve">Billy Tsekos:
NBSAP-P.133:
Actions under natioanl goal 4: </t>
        </r>
        <r>
          <rPr>
            <sz val="9"/>
            <color indexed="81"/>
            <rFont val="Tahoma"/>
            <family val="2"/>
          </rPr>
          <t xml:space="preserve">
To develop, in a participating form, guidelines and policies for the implementation of reducing/mitigating actions (NAMA, LEDS and </t>
        </r>
        <r>
          <rPr>
            <b/>
            <sz val="9"/>
            <color indexed="81"/>
            <rFont val="Tahoma"/>
            <family val="2"/>
          </rPr>
          <t>MRV</t>
        </r>
        <r>
          <rPr>
            <sz val="9"/>
            <color indexed="81"/>
            <rFont val="Tahoma"/>
            <family val="2"/>
          </rPr>
          <t>) appropriate to the country relatively to the three principal economic activities (agriculture, exploration of forest resources, livestock), associated to the deforestation and to the forest degradation</t>
        </r>
      </text>
    </comment>
    <comment ref="CP81" authorId="2">
      <text>
        <r>
          <rPr>
            <b/>
            <sz val="9"/>
            <color indexed="81"/>
            <rFont val="Tahoma"/>
            <family val="2"/>
          </rPr>
          <t>Billy Tsekos:</t>
        </r>
        <r>
          <rPr>
            <sz val="9"/>
            <color indexed="81"/>
            <rFont val="Tahoma"/>
            <family val="2"/>
          </rPr>
          <t xml:space="preserve">
</t>
        </r>
        <r>
          <rPr>
            <b/>
            <sz val="9"/>
            <color indexed="81"/>
            <rFont val="Tahoma"/>
            <family val="2"/>
          </rPr>
          <t xml:space="preserve">NBSAP-P.56: </t>
        </r>
        <r>
          <rPr>
            <sz val="9"/>
            <color indexed="81"/>
            <rFont val="Tahoma"/>
            <family val="2"/>
          </rPr>
          <t xml:space="preserve">The mangroves ecosystems, the forests and the arboreous savannas act as regulators of the climate, in the gathering and storage of carbon, in the reduction of the erosion, in the composition of soil fertility, in the pollination, in biological control, in the cycle of water and air, in the guarantee of clean water supply and resilience against the climate changes.
</t>
        </r>
      </text>
    </comment>
    <comment ref="CQ81" authorId="2">
      <text>
        <r>
          <rPr>
            <b/>
            <sz val="9"/>
            <color indexed="81"/>
            <rFont val="Tahoma"/>
            <family val="2"/>
          </rPr>
          <t>Billy Tsekos:</t>
        </r>
        <r>
          <rPr>
            <sz val="9"/>
            <color indexed="81"/>
            <rFont val="Tahoma"/>
            <family val="2"/>
          </rPr>
          <t xml:space="preserve">
</t>
        </r>
        <r>
          <rPr>
            <b/>
            <sz val="9"/>
            <color indexed="81"/>
            <rFont val="Tahoma"/>
            <family val="2"/>
          </rPr>
          <t>NBSAP-P.138:</t>
        </r>
        <r>
          <rPr>
            <sz val="9"/>
            <color indexed="81"/>
            <rFont val="Tahoma"/>
            <family val="2"/>
          </rPr>
          <t xml:space="preserve"> 
</t>
        </r>
        <r>
          <rPr>
            <b/>
            <sz val="9"/>
            <color indexed="81"/>
            <rFont val="Tahoma"/>
            <family val="2"/>
          </rPr>
          <t>Action under ABT 10</t>
        </r>
        <r>
          <rPr>
            <sz val="9"/>
            <color indexed="81"/>
            <rFont val="Tahoma"/>
            <family val="2"/>
          </rPr>
          <t xml:space="preserve">:
-To accomplish vulnerability  evaluation and to develop important adaptation measures to improve the resilience of prior ecosystems to the climatic change
</t>
        </r>
      </text>
    </comment>
    <comment ref="CV81" authorId="2">
      <text>
        <r>
          <rPr>
            <b/>
            <sz val="9"/>
            <color indexed="81"/>
            <rFont val="Tahoma"/>
            <family val="2"/>
          </rPr>
          <t>Billy Tsekos:</t>
        </r>
        <r>
          <rPr>
            <sz val="9"/>
            <color indexed="81"/>
            <rFont val="Tahoma"/>
            <family val="2"/>
          </rPr>
          <t xml:space="preserve">
</t>
        </r>
        <r>
          <rPr>
            <b/>
            <sz val="9"/>
            <color indexed="81"/>
            <rFont val="Tahoma"/>
            <family val="2"/>
          </rPr>
          <t xml:space="preserve">NBSAP-P.56: </t>
        </r>
        <r>
          <rPr>
            <sz val="9"/>
            <color indexed="81"/>
            <rFont val="Tahoma"/>
            <family val="2"/>
          </rPr>
          <t xml:space="preserve">Due to its geographical position and the presence of last forest remainders, Guinea-Bissau plays the role of climatic lid and it represents a living barrier (green) to the expansion of the Saharan desertification towards the wet and subwet countries of subregion, located in the south.
</t>
        </r>
        <r>
          <rPr>
            <b/>
            <sz val="9"/>
            <color indexed="81"/>
            <rFont val="Tahoma"/>
            <family val="2"/>
          </rPr>
          <t>NBSAP-P.82:</t>
        </r>
        <r>
          <rPr>
            <sz val="9"/>
            <color indexed="81"/>
            <rFont val="Tahoma"/>
            <family val="2"/>
          </rPr>
          <t xml:space="preserve"> Plan of fighting against the desertification
</t>
        </r>
      </text>
    </comment>
    <comment ref="CW81" authorId="2">
      <text>
        <r>
          <rPr>
            <b/>
            <sz val="9"/>
            <color indexed="81"/>
            <rFont val="Tahoma"/>
            <family val="2"/>
          </rPr>
          <t>Billy Tsekos:
NBSAP-P.74 &amp; 75</t>
        </r>
        <r>
          <rPr>
            <sz val="9"/>
            <color indexed="81"/>
            <rFont val="Tahoma"/>
            <family val="2"/>
          </rPr>
          <t xml:space="preserve">
- Table 8: Occupation of soils in hectares
- Table 9: Occupation of soils in hectares 
</t>
        </r>
        <r>
          <rPr>
            <b/>
            <sz val="9"/>
            <color indexed="81"/>
            <rFont val="Tahoma"/>
            <family val="2"/>
          </rPr>
          <t>NBSAP-P.109 -</t>
        </r>
        <r>
          <rPr>
            <sz val="9"/>
            <color indexed="81"/>
            <rFont val="Tahoma"/>
            <family val="2"/>
          </rPr>
          <t xml:space="preserve"> </t>
        </r>
        <r>
          <rPr>
            <b/>
            <sz val="9"/>
            <color indexed="81"/>
            <rFont val="Tahoma"/>
            <family val="2"/>
          </rPr>
          <t>Nationlal Priority:</t>
        </r>
        <r>
          <rPr>
            <sz val="9"/>
            <color indexed="81"/>
            <rFont val="Tahoma"/>
            <family val="2"/>
          </rPr>
          <t xml:space="preserve"> To restore areas and degraded ecosystems and improve the productivity of the lands and their durability through the fight against the burning, the coastal erosion and water, the salinization and acidification of the soils, the management of the superficial and underground waters;
</t>
        </r>
        <r>
          <rPr>
            <b/>
            <sz val="9"/>
            <color indexed="81"/>
            <rFont val="Tahoma"/>
            <family val="2"/>
          </rPr>
          <t xml:space="preserve">NBSAP-P.110: </t>
        </r>
        <r>
          <rPr>
            <sz val="9"/>
            <color indexed="81"/>
            <rFont val="Tahoma"/>
            <family val="2"/>
          </rPr>
          <t xml:space="preserve">The existence of a national net of the protected areas, that will shortly cover about 26% of the national territory, is just by itself a starting point and a vehicle for a larger diffusion of knowledge about the importance of the biodiversity and the natural resources
</t>
        </r>
        <r>
          <rPr>
            <b/>
            <sz val="9"/>
            <color indexed="81"/>
            <rFont val="Tahoma"/>
            <family val="2"/>
          </rPr>
          <t xml:space="preserve">NBSAP-P.127: </t>
        </r>
        <r>
          <rPr>
            <sz val="9"/>
            <color indexed="81"/>
            <rFont val="Tahoma"/>
            <family val="2"/>
          </rPr>
          <t>It is through REDD+ outlines (projects or programs) that the protected areas can be benefitted by the voluntary carbon market</t>
        </r>
      </text>
    </comment>
    <comment ref="DK81" authorId="2">
      <text>
        <r>
          <rPr>
            <b/>
            <sz val="9"/>
            <color indexed="81"/>
            <rFont val="Tahoma"/>
            <family val="2"/>
          </rPr>
          <t>Billy Tsekos:</t>
        </r>
        <r>
          <rPr>
            <sz val="9"/>
            <color indexed="81"/>
            <rFont val="Tahoma"/>
            <family val="2"/>
          </rPr>
          <t xml:space="preserve">
It is known that the main responsible for emissions in Guinea-Bissau is the change in the use of land and forests. Deforestation is responsible for emitting large amounts of CO2 into the atmosphere. The estimates show a decline of around 625,000 m3 of wood per year.Therefore, the main mitigation measure to be adopted by  the country, which may be a national contribution, is related to reforestation. </t>
        </r>
      </text>
    </comment>
    <comment ref="DL81" authorId="2">
      <text>
        <r>
          <rPr>
            <b/>
            <sz val="9"/>
            <color indexed="81"/>
            <rFont val="Tahoma"/>
            <family val="2"/>
          </rPr>
          <t>Billy Tsekos:</t>
        </r>
        <r>
          <rPr>
            <sz val="9"/>
            <color indexed="81"/>
            <rFont val="Tahoma"/>
            <family val="2"/>
          </rPr>
          <t xml:space="preserve">
</t>
        </r>
        <r>
          <rPr>
            <b/>
            <sz val="9"/>
            <color indexed="81"/>
            <rFont val="Tahoma"/>
            <family val="2"/>
          </rPr>
          <t>The country plans in the short term to implement the following actions with financial, technological and capacity building support from the international community:</t>
        </r>
        <r>
          <rPr>
            <sz val="9"/>
            <color indexed="81"/>
            <rFont val="Tahoma"/>
            <family val="2"/>
          </rPr>
          <t xml:space="preserve">
 Increase the percentage of protected areas from 15% to 26% and ensure its management, and an effective implementation of the Forest Act and the moratorium to ban the felling and export of timber over the next five years;
 Conduct a nationwide forest inventory;
 Develop an agro-ecological zone and forest management;
 Strengthen the existing capacity to participate in the REDD+ mechanism and consequently raise the
national effort to combat the adverse impacts of climate change.
 Increase the adaptation capacity of national ecosystems through soil protection against water and wind erosion, and protecting the coast against rising sea levels and other types of erosion.
</t>
        </r>
        <r>
          <rPr>
            <b/>
            <sz val="9"/>
            <color indexed="81"/>
            <rFont val="Tahoma"/>
            <family val="2"/>
          </rPr>
          <t>In the medium and long term Guinea-Bissau undertakes, provided there is financial, technological and capacity building support from the international community starting from the new climate agreement and green fund, to:</t>
        </r>
        <r>
          <rPr>
            <sz val="9"/>
            <color indexed="81"/>
            <rFont val="Tahoma"/>
            <family val="2"/>
          </rPr>
          <t xml:space="preserve">
 Develop a national reforestation and sustainable management of forest and agro forestry ecosystems programme by 2025;
 Develop scientific and technical research on adaptation of new productive varieties with broad spectrum tolerance to climate adverse effects by 2025;
 Reduce illegal and indiscriminate felling of trees by 2030; 
 Promote forestry/plantation of species resistant to drought and low rainfall by 2030;</t>
        </r>
      </text>
    </comment>
    <comment ref="DP81" authorId="2">
      <text>
        <r>
          <rPr>
            <b/>
            <sz val="9"/>
            <color indexed="81"/>
            <rFont val="Tahoma"/>
            <family val="2"/>
          </rPr>
          <t>Billy Tsekos:</t>
        </r>
        <r>
          <rPr>
            <sz val="9"/>
            <color indexed="81"/>
            <rFont val="Tahoma"/>
            <family val="2"/>
          </rPr>
          <t xml:space="preserve">
Nearly 10% of its territory is covered by mangrove, perhaps the most significant proportion of the world. Currently about 15% of the country’s land and maritime territory is a sanctuary for the preservation of biodiversity and this percentage is expected to increase to 26% in 2020.
</t>
        </r>
      </text>
    </comment>
    <comment ref="ER81" authorId="0">
      <text>
        <r>
          <rPr>
            <sz val="9"/>
            <color indexed="81"/>
            <rFont val="Tahoma"/>
            <family val="2"/>
          </rPr>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r>
      </text>
    </comment>
    <comment ref="Z82" authorId="5">
      <text>
        <r>
          <rPr>
            <sz val="11"/>
            <color theme="1"/>
            <rFont val="Calibri"/>
            <family val="2"/>
            <scheme val="minor"/>
          </rPr>
          <t>pag. 24 of the CBD Strategy and Action Plan - Guyana (English version)</t>
        </r>
      </text>
    </comment>
    <comment ref="AH82" authorId="5">
      <text>
        <r>
          <rPr>
            <sz val="11"/>
            <color theme="1"/>
            <rFont val="Calibri"/>
            <family val="2"/>
            <scheme val="minor"/>
          </rPr>
          <t xml:space="preserve">p. 22 of the  CBD Strategy and Action Plan - Guyana (English version ---&gt;  Annual Rate of Deforestation </t>
        </r>
      </text>
    </comment>
    <comment ref="AO82" authorId="5">
      <text>
        <r>
          <rPr>
            <sz val="11"/>
            <color theme="1"/>
            <rFont val="Calibri"/>
            <family val="2"/>
            <scheme val="minor"/>
          </rPr>
          <t>waterways degradation with degree and map</t>
        </r>
      </text>
    </comment>
    <comment ref="AV82" authorId="5">
      <text>
        <r>
          <rPr>
            <sz val="11"/>
            <color theme="1"/>
            <rFont val="Calibri"/>
            <family val="2"/>
            <scheme val="minor"/>
          </rPr>
          <t>waterways degradation with degree and map</t>
        </r>
      </text>
    </comment>
    <comment ref="BA82" authorId="0">
      <text>
        <r>
          <rPr>
            <sz val="9"/>
            <color indexed="81"/>
            <rFont val="Tahoma"/>
            <family val="2"/>
          </rPr>
          <t xml:space="preserve">SO7: Improve substantially biodiversity monitoring at the national level and within key productive sectors as well as the private sector. </t>
        </r>
      </text>
    </comment>
    <comment ref="BF82" authorId="5">
      <text>
        <r>
          <rPr>
            <sz val="11"/>
            <color theme="1"/>
            <rFont val="Calibri"/>
            <family val="2"/>
            <scheme val="minor"/>
          </rPr>
          <t xml:space="preserve">pag 11 of the CBD Fifth National Report - Guyana (English version)----&gt; Recently, the PAC, in collaboration with Conservation International-Guyana and the University of Kent, designed a methodology using MARXAN to spatially map important ecosystems and biodiversity areas in Guyana. The analysis provided ‘revised maps’ of priority areas for biodiversity.
Eco-regional planning was done at the level of the Guiana Shield Region in April 2002 through the “Guyana Shield Conservation Priority-setting Workshop” co-sponsored by Conservation International (CI), the Guiana Shield Initiative of the Netherlands Committee for the IUCN, the Caribbean Sub-regional
resource Facility of the United Nations Development Programme (UNDP), UNDP Suriname, and UNDP Guyana. The workshop identified a series of priority areas for biodiversity and conservation within the
Guiana Shield Region. Guyana is included for its importance for areas of high conservation potential, protected areas, and biological priorities for floristics, plant ecology, amphibians and reptiles, mammals,
birds, invertebrates, fish and freshwater ecology. </t>
        </r>
      </text>
    </comment>
    <comment ref="BI82" authorId="5">
      <text>
        <r>
          <rPr>
            <sz val="11"/>
            <color theme="1"/>
            <rFont val="Calibri"/>
            <family val="2"/>
            <scheme val="minor"/>
          </rPr>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r>
      </text>
    </comment>
    <comment ref="BL82" authorId="5">
      <text>
        <r>
          <rPr>
            <sz val="11"/>
            <color theme="1"/>
            <rFont val="Calibri"/>
            <family val="2"/>
            <scheme val="minor"/>
          </rPr>
          <t>pag 24 of the CBD Strategy and Action Plan - Guyana (English version) and forth</t>
        </r>
      </text>
    </comment>
    <comment ref="BP82" authorId="5">
      <text>
        <r>
          <rPr>
            <sz val="11"/>
            <color theme="1"/>
            <rFont val="Calibri"/>
            <family val="2"/>
            <scheme val="minor"/>
          </rPr>
          <t>pag 24 of the CBD Strategy and Action Plan - Guyana (English version) and forth</t>
        </r>
      </text>
    </comment>
    <comment ref="BT82" authorId="5">
      <text>
        <r>
          <rPr>
            <sz val="11"/>
            <color theme="1"/>
            <rFont val="Calibri"/>
            <family val="2"/>
            <scheme val="minor"/>
          </rPr>
          <t>pag 45 of the CBD Strategy and Action Plan - Guyana (English version)-----&gt;
``...By 2015, at least three (3)
mined-out sites have
been duly restored and
managed...``</t>
        </r>
      </text>
    </comment>
    <comment ref="BX82" authorId="5">
      <text>
        <r>
          <rPr>
            <sz val="11"/>
            <color theme="1"/>
            <rFont val="Calibri"/>
            <family val="2"/>
            <scheme val="minor"/>
          </rPr>
          <t xml:space="preserve">pag III and pag. 28 of the CBD Strategy and Action Plan - Guyana (English version) ---&gt;  Climate change, deforestation and land degradation have recently received greater recognition as current
and future drivers of environmental change and threats to Guyana’s biodiversity. These pressures have
been increasing over the past decade. In addition, emerging threats that will affect biodiversity in the
future include (i) overfishing, (ii) depletion of the mangrove fringe, and (iii) expansion of extractive
industries
</t>
        </r>
      </text>
    </comment>
    <comment ref="CC82" authorId="5">
      <text>
        <r>
          <rPr>
            <sz val="11"/>
            <color theme="1"/>
            <rFont val="Calibri"/>
            <family val="2"/>
            <scheme val="minor"/>
          </rPr>
          <t>pag 30 and forth of the CBD Strategy and Action Plan - Guyana (English version)</t>
        </r>
      </text>
    </comment>
    <comment ref="CH82" authorId="5">
      <text>
        <r>
          <rPr>
            <sz val="11"/>
            <color theme="1"/>
            <rFont val="Calibri"/>
            <family val="2"/>
            <scheme val="minor"/>
          </rPr>
          <t xml:space="preserve">pag 13 of the CBD Fifth National Report - Guyana (English version)---------&gt;Following up on its belief that Guyana can play an important role in addressing the global problem of climate change and its effects, the GoG, in 2009, signed a memorandum of understanding (MOU) with the Kingdom of Norway committing Norway to provide US $250 million in support of Guyana’s avoided
deforestation efforts up to 2015 and the building of a working model of REDD+. At the time of preparing this report, Guyana had earned US$115 million from Norway under this partnership from three consecutive payments and a fourth payment is expected. This represents the second largest interim
REDD+ mechanism globally (the Brazil-Norway partnership being the first) while maintaining 99% of its forests. </t>
        </r>
      </text>
    </comment>
    <comment ref="CI82" authorId="5">
      <text>
        <r>
          <rPr>
            <sz val="11"/>
            <color theme="1"/>
            <rFont val="Calibri"/>
            <family val="2"/>
            <scheme val="minor"/>
          </rPr>
          <t>pag 28, 29, 40,42, 45,49, 52, (...) of the CBD Fifth National Report - Guyana (English version)</t>
        </r>
      </text>
    </comment>
    <comment ref="CJ82" authorId="5">
      <text>
        <r>
          <rPr>
            <sz val="11"/>
            <color theme="1"/>
            <rFont val="Calibri"/>
            <family val="2"/>
            <scheme val="minor"/>
          </rPr>
          <t>pag 28, 29, 40,42, 45,49, 52, (...) of the CBD Fifth National Report - Guyana (English version)
Not sure if it qualifies, but there are many decisions based on REDD data</t>
        </r>
      </text>
    </comment>
    <comment ref="CQ82" authorId="5">
      <text>
        <r>
          <rPr>
            <sz val="11"/>
            <color theme="1"/>
            <rFont val="Calibri"/>
            <family val="2"/>
            <scheme val="minor"/>
          </rPr>
          <t>pag 33 and forth of the CBD Fifth National Report - Guyana (English version) ---&gt; includes map</t>
        </r>
      </text>
    </comment>
    <comment ref="ER82" authorId="0">
      <text>
        <r>
          <rPr>
            <sz val="9"/>
            <color indexed="81"/>
            <rFont val="Tahoma"/>
            <family val="2"/>
          </rPr>
          <t>Obj. 3 Maintain or restore biodiversity and ecosystem services in Belgium to a favourable conservation status (all operational objectives)</t>
        </r>
      </text>
    </comment>
    <comment ref="Z84" authorId="5">
      <text>
        <r>
          <rPr>
            <sz val="11"/>
            <color theme="1"/>
            <rFont val="Calibri"/>
            <family val="2"/>
            <scheme val="minor"/>
          </rPr>
          <t xml:space="preserve">mostly on p.3
</t>
        </r>
      </text>
    </comment>
    <comment ref="BA84" authorId="5">
      <text>
        <r>
          <rPr>
            <sz val="11"/>
            <color theme="1"/>
            <rFont val="Calibri"/>
            <family val="2"/>
            <scheme val="minor"/>
          </rPr>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r>
      </text>
    </comment>
    <comment ref="BX84" authorId="5">
      <text>
        <r>
          <rPr>
            <sz val="11"/>
            <color theme="1"/>
            <rFont val="Calibri"/>
            <family val="2"/>
            <scheme val="minor"/>
          </rPr>
          <t>pag 17 and forth of the V informe nacional de biodiversidade</t>
        </r>
      </text>
    </comment>
    <comment ref="CC84" authorId="5">
      <text>
        <r>
          <rPr>
            <sz val="11"/>
            <color theme="1"/>
            <rFont val="Calibri"/>
            <family val="2"/>
            <scheme val="minor"/>
          </rPr>
          <t>p. 32 ---&gt; Conservacion IN SITU
p. 35 ---&gt; Conservacion EX SITU</t>
        </r>
      </text>
    </comment>
    <comment ref="CQ84" authorId="5">
      <text>
        <r>
          <rPr>
            <sz val="11"/>
            <color theme="1"/>
            <rFont val="Calibri"/>
            <family val="2"/>
            <scheme val="minor"/>
          </rPr>
          <t>Only reference to climate chenge found:
p.29 ---&gt; ``Divulgarlos distintos proyectos de desarrollo sostenible que apliquen a incentivos dentro del marco del Convenio
de Cambio Climático y el Protocolo de Kioto.``</t>
        </r>
      </text>
    </comment>
    <comment ref="ET84" authorId="0">
      <text>
        <r>
          <rPr>
            <sz val="9"/>
            <color indexed="81"/>
            <rFont val="Tahoma"/>
            <family val="2"/>
          </rPr>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text>
    </comment>
    <comment ref="EH86" authorId="0">
      <text>
        <r>
          <rPr>
            <b/>
            <sz val="9"/>
            <color indexed="81"/>
            <rFont val="Tahoma"/>
            <family val="2"/>
          </rPr>
          <t xml:space="preserve">2 million hectares
</t>
        </r>
      </text>
    </comment>
    <comment ref="ER86" authorId="0">
      <text>
        <r>
          <rPr>
            <sz val="9"/>
            <color indexed="81"/>
            <rFont val="Tahoma"/>
            <family val="2"/>
          </rPr>
          <t>NI</t>
        </r>
      </text>
    </comment>
    <comment ref="ET86" authorId="0">
      <text>
        <r>
          <rPr>
            <sz val="9"/>
            <color indexed="81"/>
            <rFont val="Tahoma"/>
            <family val="2"/>
          </rPr>
          <t>5NR- p. 45 -  Objectif 16 : D’ici à 2017, la contribution de la biodiversité nationale aux stocks de carbone est évaluée et des mesures pour son amélioration sont prises notamment par le renforcement de la résilience des écosystèmes et la restauration de ceux dégradés</t>
        </r>
      </text>
    </comment>
    <comment ref="Z87"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imes New Roman"/>
            <family val="1"/>
          </rPr>
          <t xml:space="preserve">The forests in India are spread over an area of 692,027 km , covering 21.05% of the geographical area of the country. There are 16 major forest types and 251 sub-types (FSI 2011). The forest cover of the country has been classified on the basis of the tree canopy density into pre-defined classes: Very Dense Forest (VDF), Moderately Dense Forest
(MDF) and Open Forest (OF). Scrub, though shown separately, is not counted as forest cover (Figure 1.9). Details of the forest cover at the country level are provided in Table 1.10. The area under VDF, MDF and OF includes areas under mangrove cover of the corresponding density classes
The total tree cover in India is estimated to be 9.08 million hectares, accounting for about 3% of the total geographic area of the country
</t>
        </r>
        <r>
          <rPr>
            <b/>
            <sz val="9"/>
            <color indexed="81"/>
            <rFont val="Times New Roman"/>
            <family val="1"/>
          </rPr>
          <t xml:space="preserve">
 NR-P.21: </t>
        </r>
        <r>
          <rPr>
            <sz val="9"/>
            <color indexed="81"/>
            <rFont val="Times New Roman"/>
            <family val="1"/>
          </rPr>
          <t xml:space="preserve">forest cover has either remained static or has reduced, India has added around 3 million hectares of forest and tree cover over the last decade
</t>
        </r>
        <r>
          <rPr>
            <b/>
            <sz val="9"/>
            <color indexed="81"/>
            <rFont val="Times New Roman"/>
            <family val="1"/>
          </rPr>
          <t>NR-P.22:</t>
        </r>
        <r>
          <rPr>
            <sz val="9"/>
            <color indexed="81"/>
            <rFont val="Times New Roman"/>
            <family val="1"/>
          </rPr>
          <t xml:space="preserve"> India has total of 757,060 wetlands covering a total area of ca. 15.26 million ha, roughly equal to 4.6% of its land area. Of this, inlands wetland constitute 69.22% (10.56 million ha). There are 0.556 million wetlands with area less than 2.25 ha
</t>
        </r>
      </text>
    </comment>
    <comment ref="AO87" authorId="1">
      <text>
        <r>
          <rPr>
            <b/>
            <sz val="9"/>
            <color indexed="81"/>
            <rFont val="Tahoma"/>
            <family val="2"/>
          </rPr>
          <t>billy.tsekos:</t>
        </r>
        <r>
          <rPr>
            <sz val="9"/>
            <color indexed="81"/>
            <rFont val="Tahoma"/>
            <family val="2"/>
          </rPr>
          <t xml:space="preserve">
</t>
        </r>
        <r>
          <rPr>
            <b/>
            <sz val="9"/>
            <color indexed="81"/>
            <rFont val="Tahoma"/>
            <family val="2"/>
          </rPr>
          <t xml:space="preserve">NR-P.39: </t>
        </r>
        <r>
          <rPr>
            <sz val="9"/>
            <color indexed="81"/>
            <rFont val="Tahoma"/>
            <family val="2"/>
          </rPr>
          <t xml:space="preserve">Over 1.17 million hectares of forest land is estimated to have been diverted for more then 23,000 developmental projects since the enactment of the Forest Conservation Act in 1980 (MoEF 2008). Loss and degradation of grasslands across the country has affected grassland dependent species such as members of the bustard family - Bengal florican, Lesser florican, Houbara bustard and Great Indian bustard.
</t>
        </r>
        <r>
          <rPr>
            <b/>
            <sz val="9"/>
            <color indexed="81"/>
            <rFont val="Tahoma"/>
            <family val="2"/>
          </rPr>
          <t>NR-P.40:</t>
        </r>
        <r>
          <rPr>
            <sz val="9"/>
            <color indexed="81"/>
            <rFont val="Tahoma"/>
            <family val="2"/>
          </rPr>
          <t xml:space="preserve"> The pressures of livestock grazing on forests and grasslands are severe, with India having the world's largest livestock population, constituting 15% of the global livestock population, in 2.4% of the global geographical area and the population density being nearly 1.5 per hectare of cattle, sheep and goats.
</t>
        </r>
      </text>
    </comment>
    <comment ref="BA87" authorId="0">
      <text>
        <r>
          <rPr>
            <b/>
            <sz val="9"/>
            <color indexed="81"/>
            <rFont val="Tahoma"/>
            <family val="2"/>
          </rPr>
          <t>NBSAP-ADD1-P.23:</t>
        </r>
        <r>
          <rPr>
            <sz val="9"/>
            <color indexed="81"/>
            <rFont val="Tahoma"/>
            <family val="2"/>
          </rPr>
          <t xml:space="preserve">
</t>
        </r>
        <r>
          <rPr>
            <b/>
            <sz val="9"/>
            <color indexed="81"/>
            <rFont val="Tahoma"/>
            <family val="2"/>
          </rPr>
          <t>National Target3:</t>
        </r>
        <r>
          <rPr>
            <sz val="9"/>
            <color indexed="81"/>
            <rFont val="Tahoma"/>
            <family val="2"/>
          </rPr>
          <t xml:space="preserve"> Strategies for reducing rate of degradation, fragmentation and loss of all natural habitats are finalized and actions put in place by 2020 for environmental amelioration and human well-being.
</t>
        </r>
      </text>
    </comment>
    <comment ref="BD87" authorId="1">
      <text>
        <r>
          <rPr>
            <b/>
            <sz val="9"/>
            <color indexed="81"/>
            <rFont val="Tahoma"/>
            <family val="2"/>
          </rPr>
          <t>billy.tsekos:</t>
        </r>
        <r>
          <rPr>
            <sz val="9"/>
            <color indexed="81"/>
            <rFont val="Tahoma"/>
            <family val="2"/>
          </rPr>
          <t xml:space="preserve">
2020</t>
        </r>
      </text>
    </comment>
    <comment ref="BH87" authorId="1">
      <text>
        <r>
          <rPr>
            <b/>
            <sz val="9"/>
            <color indexed="81"/>
            <rFont val="Tahoma"/>
            <family val="2"/>
          </rPr>
          <t>billy.tsekos:</t>
        </r>
        <r>
          <rPr>
            <sz val="9"/>
            <color indexed="81"/>
            <rFont val="Tahoma"/>
            <family val="2"/>
          </rPr>
          <t xml:space="preserve">
</t>
        </r>
        <r>
          <rPr>
            <b/>
            <sz val="9"/>
            <color indexed="81"/>
            <rFont val="Tahoma"/>
            <family val="2"/>
          </rPr>
          <t xml:space="preserve">NR-P.39: </t>
        </r>
        <r>
          <rPr>
            <sz val="9"/>
            <color indexed="81"/>
            <rFont val="Tahoma"/>
            <family val="2"/>
          </rPr>
          <t>Habitat loss, fragmentation and degradation through conversion of land use through agriculture, urbanisation and industrial development, Invasive Alien Species and overexploitation of natural resources, including plants and animals, are amongst the major threats faced by biodiversity globally and in India. Over 1.17 million hectares of forest land is estimated to have been diverted for more then 23,000 developmental projects since the enactment of the Forest Conservation Act in 1980 (MoEF 2008).</t>
        </r>
      </text>
    </comment>
    <comment ref="BI87" authorId="1">
      <text>
        <r>
          <rPr>
            <b/>
            <sz val="9"/>
            <color indexed="81"/>
            <rFont val="Tahoma"/>
            <family val="2"/>
          </rPr>
          <t>billy.tsekos:</t>
        </r>
        <r>
          <rPr>
            <sz val="9"/>
            <color indexed="81"/>
            <rFont val="Tahoma"/>
            <family val="2"/>
          </rPr>
          <t xml:space="preserve">
NBSAP-ADD1-P.23:
National Target3: Strategies for reducing rate of degradation, fragmentation and loss of all natural habitats are finalized and actions put in place by 2020 for environmental amelioration and human well-being.
</t>
        </r>
      </text>
    </comment>
    <comment ref="BP87" authorId="1">
      <text>
        <r>
          <rPr>
            <b/>
            <sz val="9"/>
            <color indexed="81"/>
            <rFont val="Tahoma"/>
            <family val="2"/>
          </rPr>
          <t>billy.tsekos:</t>
        </r>
        <r>
          <rPr>
            <sz val="9"/>
            <color indexed="81"/>
            <rFont val="Tahoma"/>
            <family val="2"/>
          </rPr>
          <t xml:space="preserve">
</t>
        </r>
        <r>
          <rPr>
            <b/>
            <sz val="9"/>
            <color indexed="81"/>
            <rFont val="Times New Roman"/>
            <family val="1"/>
          </rPr>
          <t>NR- P.62:</t>
        </r>
        <r>
          <rPr>
            <sz val="9"/>
            <color indexed="81"/>
            <rFont val="Times New Roman"/>
            <family val="1"/>
          </rPr>
          <t xml:space="preserve"> In order to deal with critical issues like  deforestation and degradation of the forests, along with the sustenance of forest-dependent communities, the National Afforestation and Eco-Development Board (NAEB) provides support to Forest Development Agencies through the National Afforestation Programme. In 2010-2011, the State Forest Development Agency has been constituted to facilitate the flow of funds to Forest Development Agencies. The National Forest Policy (1988) aims at maintaining a minimum of 33% of the country's geographical area under forests and tree cover.
</t>
        </r>
        <r>
          <rPr>
            <b/>
            <sz val="9"/>
            <color indexed="81"/>
            <rFont val="Times New Roman"/>
            <family val="1"/>
          </rPr>
          <t>NR- P.63:</t>
        </r>
        <r>
          <rPr>
            <sz val="9"/>
            <color indexed="81"/>
            <rFont val="Times New Roman"/>
            <family val="1"/>
          </rPr>
          <t xml:space="preserve"> Ecological Restoration of Chilika Lagoon: Success to be replicated
</t>
        </r>
        <r>
          <rPr>
            <b/>
            <sz val="9"/>
            <color indexed="81"/>
            <rFont val="Times New Roman"/>
            <family val="1"/>
          </rPr>
          <t>NR- P.78: Khasi Hills community REDD+ initiative, Meghalaya, India</t>
        </r>
        <r>
          <rPr>
            <sz val="9"/>
            <color indexed="81"/>
            <rFont val="Times New Roman"/>
            <family val="1"/>
          </rPr>
          <t xml:space="preserve">
 The Khasi tribal community of the Umiam watershed, East Khasi Hills district of Meghalaya, initiated a REDD+ project. Under this project, 10 indigenous Governments of 62 villages are restoring and protecting 27,000 ha of forest, connecting sacred forests and regenerating forest fragments at the landscape level. The Khasi Hills are experiencing extremely rapid deforestation and degradation due to social, economic and market forces. Satellite imagery from 2006-2010 revealed an annual forest loss of 4%. According to project estimates this REDD+ activity would yield approximately 318,000 tonnes of CO over the first 10 years of the project plus additional benefits  including biodiversity and conservation of unique montane cloud forest ecosystems as well as 500 year old sacred groves. Carbon revenues will be used to fund project activities that enhance the hydrology of the watershed, improving the water storage capacity and dry season flows. Of the total carbon credits projected, approximately 69% will be from avoided deforestation and forest degradation, while an additional 31% will be generated through sequestration as degraded forests are restored through assisted natural regeneration.
</t>
        </r>
      </text>
    </comment>
    <comment ref="BX87" authorId="1">
      <text>
        <r>
          <rPr>
            <b/>
            <sz val="9"/>
            <color indexed="81"/>
            <rFont val="Tahoma"/>
            <family val="2"/>
          </rPr>
          <t>billy.tsekos:</t>
        </r>
        <r>
          <rPr>
            <sz val="9"/>
            <color indexed="81"/>
            <rFont val="Tahoma"/>
            <family val="2"/>
          </rPr>
          <t xml:space="preserve">
</t>
        </r>
        <r>
          <rPr>
            <b/>
            <sz val="9"/>
            <color indexed="81"/>
            <rFont val="Tahoma"/>
            <family val="2"/>
          </rPr>
          <t xml:space="preserve">NR-P.77: </t>
        </r>
        <r>
          <rPr>
            <sz val="9"/>
            <color indexed="81"/>
            <rFont val="Tahoma"/>
            <family val="2"/>
          </rPr>
          <t xml:space="preserve">The major process of land degradation is soil erosion (due to water and wind erosion), which contributes to over 71% of the land degradation in the country. Soil erosion due to water alone contributes to about 61.7% and that by wind erosion to 10.24%. The other processes include problems of water logging and salinity/alkalinity. According to the Desertification and Land Degradation Atlas of India, about 32.07% of the land is undergoing various forms of degradation, and 25% of the geographical area is affected by desertification. About 228 mha (69%) of India's total geographical area (about 328 mha) is dry land (arid, semi-arid and dry sub-humid), and degradation of this land has severe implications for the livelihood and food security of millions </t>
        </r>
      </text>
    </comment>
    <comment ref="CC87" authorId="1">
      <text>
        <r>
          <rPr>
            <b/>
            <sz val="9"/>
            <color indexed="81"/>
            <rFont val="Tahoma"/>
            <family val="2"/>
          </rPr>
          <t>billy.tsekos:</t>
        </r>
        <r>
          <rPr>
            <sz val="9"/>
            <color indexed="81"/>
            <rFont val="Tahoma"/>
            <family val="2"/>
          </rPr>
          <t xml:space="preserve">
</t>
        </r>
        <r>
          <rPr>
            <b/>
            <sz val="9"/>
            <color indexed="81"/>
            <rFont val="Tahoma"/>
            <family val="2"/>
          </rPr>
          <t>NR-P.77:</t>
        </r>
        <r>
          <rPr>
            <sz val="9"/>
            <color indexed="81"/>
            <rFont val="Tahoma"/>
            <family val="2"/>
          </rPr>
          <t xml:space="preserve"> In order to tackle the issues of desertification, land degradation and droughts, 22 major programmes are being implemented in the country, including the Green India Mission, one of the missions under the NAPCC, which will address dryland forests, in addition to other ecosystems, which will help increase the quality and extent of forest cover in 10 mha of land. Due to various remedial activities, India's forest cover is increasing by 0.8 mha every year and is helping to neutralize more than 21.17% of India's GHG emissions.
REDD+ is the global endeavour to create an incentive for developing countries to protect, better manage and save their
forest resources, thus contributing to the global fight against climate change. REDD+ goes beyond merely checking
deforestation and forest degradation, and includes incentives for positive elements of conservation, sustainable
management of forests and enhancement of forest carbon stocks. REDD+ mechanism has opened the possibilities for
pro-conservation approach and sustainable management of forests resulting in even further increase of forest cover and thereby its forest carbon stocks. (http://moef.nic.in/downloads/public-information/REDD-report.pdf)
The Eco Task Force (ETF), a unit of the Territorial Army raised under the aegis of MoEF and Ministry of Defence in
collaboration with the States in 1982, has done yeoman's service in controlling ecological degradation through plantation and soil conservation works. ETF battalions also work towards creating environment awareness amongst people living around the project areas and school children across the country.
The eight national missions, which form the core of the NAPCC represent multi-pronged long-term and integrated
strategies for achieving key goals in the context of climate change. These are the (1) Solar Energy Mission, (2) National
Mission for Enhanced Energy Efficiency, (3) National Mission on Sustainable Habitat, (4) National Water Mission, (5)
National Mission for Sustaining the Himalayan Ecosystem, (6) Green India Mission (7) National Mission for Sustainable
Agriculture and (8) National Mission on Strategic Knowledge for Climate Change. The MoEF has requested each State
Government to prepare a State Action Plan on Climate Change (SAPCC). So far, 18 States have prepared and submitted
draft SAPCC documents to the MoEF.
</t>
        </r>
      </text>
    </comment>
    <comment ref="CK87" authorId="1">
      <text>
        <r>
          <rPr>
            <b/>
            <sz val="9"/>
            <color indexed="81"/>
            <rFont val="Tahoma"/>
            <family val="2"/>
          </rPr>
          <t>billy.tsekos:</t>
        </r>
        <r>
          <rPr>
            <sz val="9"/>
            <color indexed="81"/>
            <rFont val="Tahoma"/>
            <family val="2"/>
          </rPr>
          <t xml:space="preserve">
</t>
        </r>
        <r>
          <rPr>
            <b/>
            <sz val="9"/>
            <color indexed="81"/>
            <rFont val="Tahoma"/>
            <family val="2"/>
          </rPr>
          <t>NR-P.22:</t>
        </r>
        <r>
          <rPr>
            <sz val="9"/>
            <color indexed="81"/>
            <rFont val="Tahoma"/>
            <family val="2"/>
          </rPr>
          <t xml:space="preserve"> Forests play a very significant role in the dynamics of the global carbon cycle. To address climate change scenarios and assist policy makers, the FSI (2011) presents carbon stock estimates for all the five carbon pools, namely soil, litter,
deadwood, below-ground biomass and above-ground biomass for both forestland remaining forestland and for land converted to forestland. Estimates of the overall component-wise carbon stocks and change in carbon stock during 1994-
2004 are presented in Table 1.13.
</t>
        </r>
      </text>
    </comment>
    <comment ref="CP87" authorId="1">
      <text>
        <r>
          <rPr>
            <b/>
            <sz val="9"/>
            <color indexed="81"/>
            <rFont val="Tahoma"/>
            <family val="2"/>
          </rPr>
          <t>billy.tsekos:</t>
        </r>
        <r>
          <rPr>
            <sz val="9"/>
            <color indexed="81"/>
            <rFont val="Tahoma"/>
            <family val="2"/>
          </rPr>
          <t xml:space="preserve">
</t>
        </r>
        <r>
          <rPr>
            <b/>
            <sz val="9"/>
            <color indexed="81"/>
            <rFont val="Tahoma"/>
            <family val="2"/>
          </rPr>
          <t xml:space="preserve">NR- P.66: </t>
        </r>
        <r>
          <rPr>
            <sz val="9"/>
            <color indexed="81"/>
            <rFont val="Tahoma"/>
            <family val="2"/>
          </rPr>
          <t>The GEF project being executed by the Madhya Pradesh State Forest Department (August 2010-November 2014) is located in nine forest divisions in Betul, Chhindwara, Sidhi, Singrauli and Umaria districts. Developed as a part of the Sustainable Land and Ecosystem Management Country Programme Partnership (SLEM CPP), this project aims to promote community-driven sustainable  land and ecosystem management at the landscape level through integration of watershed management, Joint Forest Management, and sustainable livelihoods development so as to balance ecological and livelihood needs. The project contributes to mainstreaming land degradation concerns into national level policies and the regulatory framework through a SLEM partnership. The project addresses the regulatory and institutional constraints in mainstreaming biodiversity conservation into livelihood activities in the wider agricultural production landscape surrounding protected areas. It seeks to enhance the resilience of land and forest ecosystems and reduce the vulnerability of local communities to climate change, including variability. The expected outcomes are creation of an enabling environment for climate-resilient, sustainable land and ecosystem management; communitydriven, demonstration of climate-resilient approaches for sustainable land and ecosystem management in four micro-catchments; and development of capacities for adaptive management, learning and replication of project lessons.</t>
        </r>
      </text>
    </comment>
    <comment ref="CQ87" authorId="1">
      <text>
        <r>
          <rPr>
            <b/>
            <sz val="9"/>
            <color indexed="81"/>
            <rFont val="Tahoma"/>
            <family val="2"/>
          </rPr>
          <t>billy.tsekos:</t>
        </r>
        <r>
          <rPr>
            <sz val="9"/>
            <color indexed="81"/>
            <rFont val="Tahoma"/>
            <family val="2"/>
          </rPr>
          <t xml:space="preserve">
</t>
        </r>
        <r>
          <rPr>
            <b/>
            <sz val="9"/>
            <color indexed="81"/>
            <rFont val="Tahoma"/>
            <family val="2"/>
          </rPr>
          <t xml:space="preserve">NR-P.93: </t>
        </r>
        <r>
          <rPr>
            <sz val="9"/>
            <color indexed="81"/>
            <rFont val="Tahoma"/>
            <family val="2"/>
          </rPr>
          <t xml:space="preserve">Assessment of vulnerability and adaptation to climate change, and desertification
</t>
        </r>
        <r>
          <rPr>
            <b/>
            <sz val="9"/>
            <color indexed="81"/>
            <rFont val="Tahoma"/>
            <family val="2"/>
          </rPr>
          <t>NR-P.40:</t>
        </r>
        <r>
          <rPr>
            <sz val="9"/>
            <color indexed="81"/>
            <rFont val="Tahoma"/>
            <family val="2"/>
          </rPr>
          <t xml:space="preserve"> An increasing incidence of forest fires is also a growing threat, particularly in the Himalaya and in areas with dry deciduous forests in southern India (Somashekhar et. al., 2007). Anthropogenic climate change remains an overarching threat, particularly for vulnerable ecosystems such as mountains and coastal areas. Habitat loss and degradation are the major threats to coastal and marine biodiversity in India (Box 1.2).
</t>
        </r>
      </text>
    </comment>
    <comment ref="CV87" authorId="1">
      <text>
        <r>
          <rPr>
            <b/>
            <sz val="9"/>
            <color indexed="81"/>
            <rFont val="Tahoma"/>
            <family val="2"/>
          </rPr>
          <t>billy.tsekos:</t>
        </r>
        <r>
          <rPr>
            <sz val="9"/>
            <color indexed="81"/>
            <rFont val="Tahoma"/>
            <family val="2"/>
          </rPr>
          <t xml:space="preserve">
</t>
        </r>
        <r>
          <rPr>
            <b/>
            <sz val="9"/>
            <color indexed="81"/>
            <rFont val="Tahoma"/>
            <family val="2"/>
          </rPr>
          <t xml:space="preserve">NR-P.77: </t>
        </r>
        <r>
          <rPr>
            <sz val="9"/>
            <color indexed="81"/>
            <rFont val="Tahoma"/>
            <family val="2"/>
          </rPr>
          <t>According to the Desertification and Land Degradation Atlas of India, about 32.07% of the land is undergoing various forms of degradation, and 25% of the geographical area is affected by desertification. About 228 mha (69%) of India's total geographical area (about 328 mha) is dry land (arid, semi-arid and dry sub-humid), and degradation of this land has severe implications for the livelihood and food security of millions. In order to tackle the issues of desertification, land degradation and droughts, 22 major programmes are being implemented in the country, including the Green India Mission, one of the missions under the NAPCC, which will address dryland forests, in addition to other ecosystems, which will help increase the quality and extent of forest cover in 10 mha of land. Due to various remedial activities, India's forest cover is increasing by 0.8 mha every year and is helping to neutralize more than 21.17% of India's GHG emissions</t>
        </r>
      </text>
    </comment>
    <comment ref="CW87" authorId="1">
      <text>
        <r>
          <rPr>
            <b/>
            <sz val="9"/>
            <color indexed="81"/>
            <rFont val="Tahoma"/>
            <family val="2"/>
          </rPr>
          <t>billy.tsekos:</t>
        </r>
        <r>
          <rPr>
            <sz val="9"/>
            <color indexed="81"/>
            <rFont val="Tahoma"/>
            <family val="2"/>
          </rPr>
          <t xml:space="preserve">
</t>
        </r>
        <r>
          <rPr>
            <b/>
            <sz val="9"/>
            <color indexed="81"/>
            <rFont val="Tahoma"/>
            <family val="2"/>
          </rPr>
          <t xml:space="preserve">NR-P. 71: </t>
        </r>
        <r>
          <rPr>
            <sz val="9"/>
            <color indexed="81"/>
            <rFont val="Tahoma"/>
            <family val="2"/>
          </rPr>
          <t xml:space="preserve">Under India's Action Plan for CBD's Programme of Work on Protected Areas (PoWPA), actions have been identified for development of site-specific management plans, securing identified corridors and connectivity areas for the integration of PAs, participatory wildlife monitoring for strengthening management and conducting targeted studies on PA valuation assessment as well as on climate change resilience and adaptation assessment in selected PAs.
</t>
        </r>
      </text>
    </comment>
    <comment ref="ER87" authorId="0">
      <text>
        <r>
          <rPr>
            <sz val="9"/>
            <color indexed="81"/>
            <rFont val="Tahoma"/>
            <family val="2"/>
          </rPr>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r>
      </text>
    </comment>
    <comment ref="ET87" authorId="0">
      <text>
        <r>
          <rPr>
            <sz val="9"/>
            <color indexed="81"/>
            <rFont val="Tahoma"/>
            <family val="2"/>
          </rPr>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r>
      </text>
    </comment>
    <comment ref="Z88" authorId="1">
      <text>
        <r>
          <rPr>
            <b/>
            <sz val="9"/>
            <color indexed="81"/>
            <rFont val="Tahoma"/>
            <family val="2"/>
          </rPr>
          <t>billy.tsekos:</t>
        </r>
        <r>
          <rPr>
            <sz val="9"/>
            <color indexed="81"/>
            <rFont val="Tahoma"/>
            <family val="2"/>
          </rPr>
          <t xml:space="preserve">
</t>
        </r>
        <r>
          <rPr>
            <b/>
            <sz val="9"/>
            <color indexed="81"/>
            <rFont val="Tahoma"/>
            <family val="2"/>
          </rPr>
          <t>NR-P.7-13
NR-P.21: New Forest Areas Based on Ministry of Forestry Decree (2010-2012)</t>
        </r>
      </text>
    </comment>
    <comment ref="AH88"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t>
        </r>
        <r>
          <rPr>
            <sz val="9"/>
            <color indexed="81"/>
            <rFont val="Times New Roman"/>
            <family val="1"/>
          </rPr>
          <t xml:space="preserve">Data Program Menuju Indonesia Hijau (MIH)/Towards Green Indonesia, Ministry of Environment uses the interpreted Landsat satellite imagery 2012-2013, for monitoring vegetation coverage management activity at municipal (Kabupaten) level. This data shows the reduction of forest coverage (primary forest, secondary forest and mangrove) about 863,074.8 ha, This decline was estimated from the change of forest cover to non-forest (mix-garden, plantation, rice field, bushes, settlement, field/lea and bare land).
</t>
        </r>
        <r>
          <rPr>
            <b/>
            <sz val="9"/>
            <color indexed="81"/>
            <rFont val="Times New Roman"/>
            <family val="1"/>
          </rPr>
          <t>NR-P.14:</t>
        </r>
        <r>
          <rPr>
            <sz val="9"/>
            <color indexed="81"/>
            <rFont val="Times New Roman"/>
            <family val="1"/>
          </rPr>
          <t xml:space="preserve"> Changing process and habitat lost occur because of changing in land coverage. Data from 2000 to 2009 shows the decline of dry primary forest area from 42,255,832.09 ha to 32,185,720.41 ha. This alteration follows by escalated secondary dry forest area from 38,280,269.36 ha to 44.604.933.33 ha in 2009. On the other hand, the area of secondary swamp forest diminish and plantation area buildup.</t>
        </r>
      </text>
    </comment>
    <comment ref="BA88" authorId="1">
      <text>
        <r>
          <rPr>
            <b/>
            <sz val="9"/>
            <color indexed="81"/>
            <rFont val="Tahoma"/>
            <family val="2"/>
          </rPr>
          <t>billy.tsekos:</t>
        </r>
        <r>
          <rPr>
            <sz val="9"/>
            <color indexed="81"/>
            <rFont val="Tahoma"/>
            <family val="2"/>
          </rPr>
          <t xml:space="preserve">
</t>
        </r>
        <r>
          <rPr>
            <b/>
            <sz val="9"/>
            <color indexed="81"/>
            <rFont val="Tahoma"/>
            <family val="2"/>
          </rPr>
          <t>NR- P.45: GOALS</t>
        </r>
        <r>
          <rPr>
            <sz val="9"/>
            <color indexed="81"/>
            <rFont val="Tahoma"/>
            <family val="2"/>
          </rPr>
          <t xml:space="preserve">
• Conservation/Protection Forest Rehabilitation (KPL)
• Establishment of City Forest
• Mangrove/Coastal Forest Rehabilitation
• Critical land rehabilitation
</t>
        </r>
        <r>
          <rPr>
            <b/>
            <sz val="9"/>
            <color indexed="81"/>
            <rFont val="Tahoma"/>
            <family val="2"/>
          </rPr>
          <t xml:space="preserve">NR- P.45:Achievemnts:
</t>
        </r>
        <r>
          <rPr>
            <sz val="9"/>
            <color indexed="81"/>
            <rFont val="Tahoma"/>
            <family val="2"/>
          </rPr>
          <t xml:space="preserve">
Total realization from 2010- 2013 is 1.852.692 ha, with target by 2014 up to 2.5 million hectares</t>
        </r>
      </text>
    </comment>
    <comment ref="BD88" authorId="1">
      <text>
        <r>
          <rPr>
            <b/>
            <sz val="9"/>
            <color indexed="81"/>
            <rFont val="Tahoma"/>
            <family val="2"/>
          </rPr>
          <t>billy.tsekos:</t>
        </r>
        <r>
          <rPr>
            <sz val="9"/>
            <color indexed="81"/>
            <rFont val="Tahoma"/>
            <family val="2"/>
          </rPr>
          <t xml:space="preserve">
2020</t>
        </r>
      </text>
    </comment>
    <comment ref="BH88" authorId="1">
      <text>
        <r>
          <rPr>
            <b/>
            <sz val="9"/>
            <color indexed="81"/>
            <rFont val="Tahoma"/>
            <family val="2"/>
          </rPr>
          <t>billy.tsekos:</t>
        </r>
        <r>
          <rPr>
            <sz val="9"/>
            <color indexed="81"/>
            <rFont val="Tahoma"/>
            <family val="2"/>
          </rPr>
          <t xml:space="preserve">
</t>
        </r>
        <r>
          <rPr>
            <b/>
            <sz val="9"/>
            <color indexed="81"/>
            <rFont val="Tahoma"/>
            <family val="2"/>
          </rPr>
          <t xml:space="preserve">NR-P.14: </t>
        </r>
        <r>
          <rPr>
            <sz val="9"/>
            <color indexed="81"/>
            <rFont val="Tahoma"/>
            <family val="2"/>
          </rPr>
          <t>Changing process and habitat lost occur because of changing in land coverage. Data from 2000 to 2009 shows the decline of dry primary forest area from 42,255,832.09 ha to 32,185,720.41 ha. This alteration follows by escalated secondary dry forest area from 38,280,269.36 ha to 44.604.933.33 ha in 2009. On the other hand, the area of secondary swamp forest diminish and plantation area buildup.
Fragmented habitat also shows the enlargement of bushes from 2000 to 2009. Changing in land use shrinked land coverage area that leads to biota lost as was reported by Widjaja &amp; Pratama (2013) in Central Sulawesi.</t>
        </r>
      </text>
    </comment>
    <comment ref="BI88" authorId="1">
      <text>
        <r>
          <rPr>
            <b/>
            <sz val="9"/>
            <color indexed="81"/>
            <rFont val="Tahoma"/>
            <family val="2"/>
          </rPr>
          <t>billy.tsekos:</t>
        </r>
        <r>
          <rPr>
            <sz val="9"/>
            <color indexed="81"/>
            <rFont val="Tahoma"/>
            <family val="2"/>
          </rPr>
          <t xml:space="preserve">
</t>
        </r>
        <r>
          <rPr>
            <b/>
            <sz val="9"/>
            <color indexed="81"/>
            <rFont val="Tahoma"/>
            <family val="2"/>
          </rPr>
          <t>NR- P.35:GOAL:</t>
        </r>
        <r>
          <rPr>
            <sz val="9"/>
            <color indexed="81"/>
            <rFont val="Tahoma"/>
            <family val="2"/>
          </rPr>
          <t xml:space="preserve">
Conduct efforts for reducing GHG emission from deforestation, forest and peatland degradation (REDD) to minimize global warming impact on environmental degradation
</t>
        </r>
        <r>
          <rPr>
            <b/>
            <sz val="9"/>
            <color indexed="81"/>
            <rFont val="Tahoma"/>
            <family val="2"/>
          </rPr>
          <t xml:space="preserve">
Achievements</t>
        </r>
        <r>
          <rPr>
            <sz val="9"/>
            <color indexed="81"/>
            <rFont val="Tahoma"/>
            <family val="2"/>
          </rPr>
          <t xml:space="preserve">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r>
      </text>
    </comment>
    <comment ref="BL88"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 xml:space="preserve">Indonesia has set the mangrove areas as a wildlife conservation area. In Indonesia there are 17 mangrove protection areas to protect certain wildlife species . The loss of mangrove ecosystems has disrupted populations of wildlife species including bats, thus impacting on the decrease in fruit yields pollinated by bats in Southeast Asia </t>
        </r>
      </text>
    </comment>
    <comment ref="BP88" authorId="1">
      <text>
        <r>
          <rPr>
            <b/>
            <sz val="9"/>
            <color indexed="81"/>
            <rFont val="Tahoma"/>
            <family val="2"/>
          </rPr>
          <t>billy.tsekos:</t>
        </r>
        <r>
          <rPr>
            <sz val="9"/>
            <color indexed="81"/>
            <rFont val="Tahoma"/>
            <family val="2"/>
          </rPr>
          <t xml:space="preserve">
</t>
        </r>
        <r>
          <rPr>
            <b/>
            <sz val="9"/>
            <color indexed="81"/>
            <rFont val="Tahoma"/>
            <family val="2"/>
          </rPr>
          <t xml:space="preserve">NR- P.59: </t>
        </r>
        <r>
          <rPr>
            <sz val="9"/>
            <color indexed="81"/>
            <rFont val="Tahoma"/>
            <family val="2"/>
          </rPr>
          <t xml:space="preserve">Based on Indonesia Millennium Development Goals Achievement 2011 Report submitted to United Nations in 2012, important efforts exclusively related to biodiversity has been implemented to accelerate MDGs goals achievement, as follows:
In order to increase the ratio of tree coverage area and the ratio of protected area, Government of Indonesia has undertaken priority activities in forest and critical land rehabilitation, including mangrove forest, coastal forest, peat and swamp forests along river basin/watershed territory in Indonesia to date 2.5 million hectares target for 2010-2014. Simultaneously, various efforts to improve  forest area management at level site (tapak) to accelerate settlement of forest area delineation and to expedite of Forest Management Unit (KPH) operation. Furthermore, many efforts have been conducted in diminishing the number of hot-spots and forest burnt areas to reduce forest fire spread.
</t>
        </r>
        <r>
          <rPr>
            <b/>
            <sz val="9"/>
            <color indexed="81"/>
            <rFont val="Tahoma"/>
            <family val="2"/>
          </rPr>
          <t>NR- P.31:</t>
        </r>
        <r>
          <rPr>
            <sz val="9"/>
            <color indexed="81"/>
            <rFont val="Tahoma"/>
            <family val="2"/>
          </rPr>
          <t xml:space="preserve"> </t>
        </r>
        <r>
          <rPr>
            <b/>
            <sz val="9"/>
            <color indexed="81"/>
            <rFont val="Tahoma"/>
            <family val="2"/>
          </rPr>
          <t>Forests and Land Rehabilitation</t>
        </r>
        <r>
          <rPr>
            <sz val="9"/>
            <color indexed="81"/>
            <rFont val="Tahoma"/>
            <family val="2"/>
          </rPr>
          <t xml:space="preserve">
Land rehabilitation implementation is prioritized on tree planting/re-planting in very critical and
critical land areas beyond forest area and the development of soil conservation building. Rehabilitation
achievement in the last 5 years period 2009-2013 is shown in table 23.
</t>
        </r>
        <r>
          <rPr>
            <b/>
            <sz val="9"/>
            <color indexed="81"/>
            <rFont val="Tahoma"/>
            <family val="2"/>
          </rPr>
          <t xml:space="preserve">NR- P.32: Development Ecosystem Restoration Concession in Indonesia through Hutan Harapan Initiative </t>
        </r>
        <r>
          <rPr>
            <sz val="9"/>
            <color indexed="81"/>
            <rFont val="Tahoma"/>
            <family val="2"/>
          </rPr>
          <t xml:space="preserve">
Hutan Harapan initiated by A consortium of Burung Indonesia, The Royal Society for the Protection of Birds (RSPB) and Birdlife International which aims to conserve biodiversity, restore forest, bring great economic mand livelihood for people, produce economic value and ecosystem services. </t>
        </r>
      </text>
    </comment>
    <comment ref="BT88" authorId="1">
      <text>
        <r>
          <rPr>
            <b/>
            <sz val="9"/>
            <color indexed="81"/>
            <rFont val="Tahoma"/>
            <family val="2"/>
          </rPr>
          <t>billy.tsekos:</t>
        </r>
        <r>
          <rPr>
            <sz val="9"/>
            <color indexed="81"/>
            <rFont val="Tahoma"/>
            <family val="2"/>
          </rPr>
          <t xml:space="preserve">
</t>
        </r>
        <r>
          <rPr>
            <b/>
            <sz val="9"/>
            <color indexed="81"/>
            <rFont val="Times New Roman"/>
            <family val="1"/>
          </rPr>
          <t xml:space="preserve">NR- P.18: </t>
        </r>
        <r>
          <rPr>
            <sz val="9"/>
            <color indexed="81"/>
            <rFont val="Times New Roman"/>
            <family val="1"/>
          </rPr>
          <t xml:space="preserve">In the 4th National Biodiversity Report, it is reported that the potential area of mangrove forests in Indonesia is 9,204,840.32 hectares. Looking at its conditions, 2,548,209.42 hectares (27%) are in good conditions, 4,510,456.61 hectares (48%) are in poor conditions and 2,146,174.29 ha (23%) are in damaged conditions. However, the Directorate General of Land Rehabilitation and Social Forestry has planned efforts for Forest and Land Rehabilitation (RHL). Actual Implementatio Recapitulation of RHL from 2010 to 2013 and the 2014 Plan can be seen in Table 7 (Actual Implementation Recapitulation of RHL from (2010 – 2013) and the 2014 Plan) on page 18 of thier 5th Natinal reports. </t>
        </r>
      </text>
    </comment>
    <comment ref="BX88" authorId="1">
      <text>
        <r>
          <rPr>
            <b/>
            <sz val="9"/>
            <color indexed="81"/>
            <rFont val="Tahoma"/>
            <family val="2"/>
          </rPr>
          <t>billy.tsekos:</t>
        </r>
        <r>
          <rPr>
            <sz val="9"/>
            <color indexed="81"/>
            <rFont val="Tahoma"/>
            <family val="2"/>
          </rPr>
          <t xml:space="preserve">
</t>
        </r>
        <r>
          <rPr>
            <b/>
            <sz val="9"/>
            <color indexed="81"/>
            <rFont val="Tahoma"/>
            <family val="2"/>
          </rPr>
          <t xml:space="preserve">NR- P.18: </t>
        </r>
        <r>
          <rPr>
            <sz val="9"/>
            <color indexed="81"/>
            <rFont val="Tahoma"/>
            <family val="2"/>
          </rPr>
          <t xml:space="preserve">Environmental degradation in ecosystem of small-island and lowland forest occurs in daily bases. Problem’s roots are high population growth, poverty, deforestation, forest and land fires, degradated and fragmented habitats, over exploitation, dispersal of invasive species, pollution and climate change. In the mean time, research produced valid data receives less respect from politicians and policy holders. </t>
        </r>
      </text>
    </comment>
    <comment ref="CQ88"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Green Belt Mangrove in Northern Coast of Java</t>
        </r>
      </text>
    </comment>
    <comment ref="DZ88" authorId="4">
      <text>
        <r>
          <rPr>
            <sz val="10"/>
            <color rgb="FF000000"/>
            <rFont val="Arial"/>
          </rPr>
          <t>Responder updated this value.</t>
        </r>
      </text>
    </comment>
    <comment ref="ER88" authorId="0">
      <text>
        <r>
          <rPr>
            <sz val="9"/>
            <color indexed="81"/>
            <rFont val="Tahoma"/>
            <family val="2"/>
          </rPr>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r>
      </text>
    </comment>
    <comment ref="Z89" authorId="6">
      <text>
        <r>
          <rPr>
            <b/>
            <sz val="9"/>
            <color indexed="81"/>
            <rFont val="Tahoma"/>
            <family val="2"/>
          </rPr>
          <t>Daniel:</t>
        </r>
        <r>
          <rPr>
            <sz val="9"/>
            <color indexed="81"/>
            <rFont val="Tahoma"/>
            <family val="2"/>
          </rPr>
          <t xml:space="preserve">
NR-P.6&amp;13</t>
        </r>
      </text>
    </comment>
    <comment ref="BC89" authorId="6">
      <text>
        <r>
          <rPr>
            <b/>
            <sz val="9"/>
            <color indexed="81"/>
            <rFont val="Tahoma"/>
            <family val="2"/>
          </rPr>
          <t>Daniel:</t>
        </r>
        <r>
          <rPr>
            <sz val="9"/>
            <color indexed="81"/>
            <rFont val="Tahoma"/>
            <family val="2"/>
          </rPr>
          <t xml:space="preserve">
 NBSAP-P.39
National Target 9: By 2030, the rate of loss of natural habitats, in particular forests,
wetlands, mountains and dry lands is at least halved, and degradation and
fragmentation is significantly reduced.</t>
        </r>
      </text>
    </comment>
    <comment ref="BD89" authorId="6">
      <text>
        <r>
          <rPr>
            <b/>
            <sz val="9"/>
            <color indexed="81"/>
            <rFont val="Tahoma"/>
            <family val="2"/>
          </rPr>
          <t>Daniel:</t>
        </r>
        <r>
          <rPr>
            <sz val="9"/>
            <color indexed="81"/>
            <rFont val="Tahoma"/>
            <family val="2"/>
          </rPr>
          <t xml:space="preserve">
2030</t>
        </r>
      </text>
    </comment>
    <comment ref="BK89" authorId="6">
      <text>
        <r>
          <rPr>
            <b/>
            <sz val="9"/>
            <color indexed="81"/>
            <rFont val="Tahoma"/>
            <family val="2"/>
          </rPr>
          <t>Daniel:</t>
        </r>
        <r>
          <rPr>
            <sz val="9"/>
            <color indexed="81"/>
            <rFont val="Tahoma"/>
            <family val="2"/>
          </rPr>
          <t xml:space="preserve">
2025</t>
        </r>
      </text>
    </comment>
    <comment ref="BX89" authorId="7">
      <text>
        <r>
          <rPr>
            <b/>
            <sz val="9"/>
            <color indexed="81"/>
            <rFont val="Segoe UI"/>
          </rPr>
          <t>Tv Globo:</t>
        </r>
        <r>
          <rPr>
            <sz val="9"/>
            <color indexed="81"/>
            <rFont val="Segoe UI"/>
          </rPr>
          <t xml:space="preserve">
NBSAP_P.20</t>
        </r>
      </text>
    </comment>
    <comment ref="CH89" authorId="7">
      <text>
        <r>
          <rPr>
            <b/>
            <sz val="9"/>
            <color indexed="81"/>
            <rFont val="Segoe UI"/>
          </rPr>
          <t>Tv Globo:</t>
        </r>
        <r>
          <rPr>
            <sz val="9"/>
            <color indexed="81"/>
            <rFont val="Segoe UI"/>
          </rPr>
          <t xml:space="preserve">
NBSAP_P.58</t>
        </r>
      </text>
    </comment>
    <comment ref="CI89" authorId="7">
      <text>
        <r>
          <rPr>
            <b/>
            <sz val="9"/>
            <color indexed="81"/>
            <rFont val="Segoe UI"/>
          </rPr>
          <t>Tv Globo:</t>
        </r>
        <r>
          <rPr>
            <sz val="9"/>
            <color indexed="81"/>
            <rFont val="Segoe UI"/>
          </rPr>
          <t xml:space="preserve">
NBSAP_P.58</t>
        </r>
      </text>
    </comment>
    <comment ref="CV89" authorId="7">
      <text>
        <r>
          <rPr>
            <b/>
            <sz val="9"/>
            <color indexed="81"/>
            <rFont val="Segoe UI"/>
          </rPr>
          <t>Tv Globo:</t>
        </r>
        <r>
          <rPr>
            <sz val="9"/>
            <color indexed="81"/>
            <rFont val="Segoe UI"/>
          </rPr>
          <t xml:space="preserve">
NBSAP_P.29-31</t>
        </r>
      </text>
    </comment>
    <comment ref="Z90" authorId="6">
      <text>
        <r>
          <rPr>
            <b/>
            <sz val="9"/>
            <color indexed="81"/>
            <rFont val="Tahoma"/>
            <family val="2"/>
          </rPr>
          <t>Daniel:</t>
        </r>
        <r>
          <rPr>
            <sz val="9"/>
            <color indexed="81"/>
            <rFont val="Tahoma"/>
            <family val="2"/>
          </rPr>
          <t xml:space="preserve">
NR_P.57</t>
        </r>
      </text>
    </comment>
    <comment ref="AO90" authorId="6">
      <text>
        <r>
          <rPr>
            <b/>
            <sz val="9"/>
            <color indexed="81"/>
            <rFont val="Tahoma"/>
            <family val="2"/>
          </rPr>
          <t>Daniel:</t>
        </r>
        <r>
          <rPr>
            <sz val="9"/>
            <color indexed="81"/>
            <rFont val="Tahoma"/>
            <family val="2"/>
          </rPr>
          <t xml:space="preserve">
NR_P59</t>
        </r>
      </text>
    </comment>
    <comment ref="AV90" authorId="6">
      <text>
        <r>
          <rPr>
            <b/>
            <sz val="9"/>
            <color indexed="81"/>
            <rFont val="Tahoma"/>
            <family val="2"/>
          </rPr>
          <t>Daniel:</t>
        </r>
        <r>
          <rPr>
            <sz val="9"/>
            <color indexed="81"/>
            <rFont val="Tahoma"/>
            <family val="2"/>
          </rPr>
          <t xml:space="preserve">
NR_P59</t>
        </r>
      </text>
    </comment>
    <comment ref="BA90" authorId="0">
      <text>
        <r>
          <rPr>
            <sz val="9"/>
            <color indexed="81"/>
            <rFont val="Tahoma"/>
            <family val="2"/>
          </rPr>
          <t xml:space="preserve">(P.92) Iraqi Target 5
By the end of 2020, a GIS database of the extent,
condition (i.e. healthy or degraded) and protection status of the natural (not altered by human intervention), semi-natural and human modified habitats of Iraq has been developed.
Iraqi Target 6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By the end of 2015 the main pressures on forest
ecosystems are identified and studied
Iraqi Target 8
By the end of 2020, legislation to address the
main pressures on forest ecosystems and native
forest species is issued, promoting sustainable
management, restoration and conservation.
Iraqi Target 9
By the end of 2020, about 1,000 square km of
desertified shrubland grassland is restored
</t>
        </r>
      </text>
    </comment>
    <comment ref="BD90" authorId="6">
      <text>
        <r>
          <rPr>
            <b/>
            <sz val="9"/>
            <color indexed="81"/>
            <rFont val="Tahoma"/>
            <family val="2"/>
          </rPr>
          <t>Daniel:</t>
        </r>
        <r>
          <rPr>
            <sz val="9"/>
            <color indexed="81"/>
            <rFont val="Tahoma"/>
            <family val="2"/>
          </rPr>
          <t xml:space="preserve">
2020</t>
        </r>
      </text>
    </comment>
    <comment ref="BF90" authorId="6">
      <text>
        <r>
          <rPr>
            <b/>
            <sz val="9"/>
            <color indexed="81"/>
            <rFont val="Tahoma"/>
            <family val="2"/>
          </rPr>
          <t>Daniel:</t>
        </r>
        <r>
          <rPr>
            <sz val="9"/>
            <color indexed="81"/>
            <rFont val="Tahoma"/>
            <family val="2"/>
          </rPr>
          <t xml:space="preserve">
NBSAP-P.92desertified
shrubland grassland</t>
        </r>
      </text>
    </comment>
    <comment ref="BX90" authorId="6">
      <text>
        <r>
          <rPr>
            <b/>
            <sz val="9"/>
            <color indexed="81"/>
            <rFont val="Tahoma"/>
            <family val="2"/>
          </rPr>
          <t>Daniel:</t>
        </r>
        <r>
          <rPr>
            <sz val="9"/>
            <color indexed="81"/>
            <rFont val="Tahoma"/>
            <family val="2"/>
          </rPr>
          <t xml:space="preserve">
NBSAP_P.38</t>
        </r>
      </text>
    </comment>
    <comment ref="CQ90" authorId="6">
      <text>
        <r>
          <rPr>
            <b/>
            <sz val="9"/>
            <color indexed="81"/>
            <rFont val="Tahoma"/>
            <family val="2"/>
          </rPr>
          <t>Daniel:</t>
        </r>
        <r>
          <rPr>
            <sz val="9"/>
            <color indexed="81"/>
            <rFont val="Tahoma"/>
            <family val="2"/>
          </rPr>
          <t xml:space="preserve">
NBSAP_P.80 A.4.a GIS map of most sensitive habitats
of Iraq
Step 1: develop a GIS map of Iraqi habitats by
using existing land cover data and international
habitat classification (e.g. IUCN)
Step 2: evaluate the threats to major Iraqi habitats
by using available data;
Step 3: carry out a vulnerability analysis to
identify the most sensitive habitats.
Step 4: produce a GIS map and dataset of the
analysis.</t>
        </r>
      </text>
    </comment>
    <comment ref="CV90" authorId="6">
      <text>
        <r>
          <rPr>
            <sz val="9"/>
            <color indexed="81"/>
            <rFont val="Tahoma"/>
            <family val="2"/>
          </rPr>
          <t xml:space="preserve">NBSAP_P.64 By 2018 Amend existing legislation or develop a
new regulation for the protection of lands from desertification
risk and restoration of desertified lands, thereby
providing special measures to protect restored lands.
NBSAP_p.65  2017 identify the desertified areas of Iraq, by
comparison with historical data and evaluate the total
surface of these lands and select among all the inventoried
desertified lands 1000 sqKm of ecologically valuable
shrubland-grassland to be restored. By 2018 draft an action
plan for restoration of the selected lands; by 2020
the action plan is on-going. </t>
        </r>
      </text>
    </comment>
    <comment ref="BA91" authorId="0">
      <text>
        <r>
          <rPr>
            <sz val="9"/>
            <color indexed="81"/>
            <rFont val="Tahoma"/>
            <family val="2"/>
          </rPr>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r>
      </text>
    </comment>
    <comment ref="T92" authorId="3">
      <text>
        <r>
          <rPr>
            <b/>
            <sz val="10"/>
            <color indexed="81"/>
            <rFont val="Calibri"/>
          </rPr>
          <t>Microsoft Office User:</t>
        </r>
        <r>
          <rPr>
            <sz val="10"/>
            <color indexed="81"/>
            <rFont val="Calibri"/>
          </rPr>
          <t xml:space="preserve">
</t>
        </r>
      </text>
    </comment>
    <comment ref="Z92" authorId="2">
      <text>
        <r>
          <rPr>
            <b/>
            <sz val="9"/>
            <color indexed="81"/>
            <rFont val="Tahoma"/>
            <family val="2"/>
          </rPr>
          <t>Billy Tsekos:</t>
        </r>
        <r>
          <rPr>
            <sz val="9"/>
            <color indexed="81"/>
            <rFont val="Tahoma"/>
            <family val="2"/>
          </rPr>
          <t xml:space="preserve">
</t>
        </r>
        <r>
          <rPr>
            <b/>
            <sz val="9"/>
            <color indexed="81"/>
            <rFont val="Tahoma"/>
            <family val="2"/>
          </rPr>
          <t xml:space="preserve">NR-P.38: </t>
        </r>
        <r>
          <rPr>
            <sz val="9"/>
            <color indexed="81"/>
            <rFont val="Tahoma"/>
            <family val="2"/>
          </rPr>
          <t xml:space="preserve">Most open areas in Israel are desert areas (55%), with low percentage of vegetation cover. About a quarter of the open areas are used for agriculture, so that only about 15% (the remaining area of Israel) may contain various plant configurations: about half of it Mediterranean or planted forest, and half containing lower vegetation formations like shrubs, bushes or grasslands. 
</t>
        </r>
        <r>
          <rPr>
            <b/>
            <sz val="9"/>
            <color indexed="81"/>
            <rFont val="Tahoma"/>
            <family val="2"/>
          </rPr>
          <t>NR-P.29:</t>
        </r>
        <r>
          <rPr>
            <sz val="9"/>
            <color indexed="81"/>
            <rFont val="Tahoma"/>
            <family val="2"/>
          </rPr>
          <t xml:space="preserve"> 25% of the area of Israel is utilized for agriculture, including rangelands. Biodiversity provides vital ecological services to agriculture, such as regulating soil erosion, biological control, keeping soil microorganisms and their functions, and pollination, whereas agricultural systems and their management may have negative effects on the environment.</t>
        </r>
      </text>
    </comment>
    <comment ref="AO92" authorId="2">
      <text>
        <r>
          <rPr>
            <b/>
            <sz val="9"/>
            <color indexed="81"/>
            <rFont val="Tahoma"/>
            <family val="2"/>
          </rPr>
          <t>Billy Tsekos:</t>
        </r>
        <r>
          <rPr>
            <sz val="9"/>
            <color indexed="81"/>
            <rFont val="Tahoma"/>
            <family val="2"/>
          </rPr>
          <t xml:space="preserve">
</t>
        </r>
        <r>
          <rPr>
            <b/>
            <sz val="9"/>
            <color indexed="81"/>
            <rFont val="Tahoma"/>
            <family val="2"/>
          </rPr>
          <t xml:space="preserve"> NR-P.3: </t>
        </r>
        <r>
          <rPr>
            <sz val="9"/>
            <color indexed="81"/>
            <rFont val="Tahoma"/>
            <family val="2"/>
          </rPr>
          <t>remote sensing analysis of woody vegetation cover, showing that during 2000-2013, in 27% of the areas vegetation density had increased, and in 7% of them it had decreased, in part due to fires and in part due to a long drought in the Mediterranean part of the country</t>
        </r>
      </text>
    </comment>
    <comment ref="BA92" authorId="2">
      <text>
        <r>
          <rPr>
            <b/>
            <sz val="9"/>
            <color indexed="81"/>
            <rFont val="Tahoma"/>
            <family val="2"/>
          </rPr>
          <t>Billy Tsekos:</t>
        </r>
        <r>
          <rPr>
            <sz val="9"/>
            <color indexed="81"/>
            <rFont val="Tahoma"/>
            <family val="2"/>
          </rPr>
          <t xml:space="preserve">
</t>
        </r>
        <r>
          <rPr>
            <b/>
            <sz val="9"/>
            <color indexed="81"/>
            <rFont val="Tahoma"/>
            <family val="2"/>
          </rPr>
          <t>NR-P.62:</t>
        </r>
        <r>
          <rPr>
            <sz val="9"/>
            <color indexed="81"/>
            <rFont val="Tahoma"/>
            <family val="2"/>
          </rPr>
          <t xml:space="preserve">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r>
      </text>
    </comment>
    <comment ref="BD92" authorId="2">
      <text>
        <r>
          <rPr>
            <b/>
            <sz val="9"/>
            <color indexed="81"/>
            <rFont val="Tahoma"/>
            <family val="2"/>
          </rPr>
          <t>Billy Tsekos:</t>
        </r>
        <r>
          <rPr>
            <sz val="9"/>
            <color indexed="81"/>
            <rFont val="Tahoma"/>
            <family val="2"/>
          </rPr>
          <t xml:space="preserve">
2025</t>
        </r>
      </text>
    </comment>
    <comment ref="BH92" authorId="2">
      <text>
        <r>
          <rPr>
            <b/>
            <sz val="9"/>
            <color indexed="81"/>
            <rFont val="Tahoma"/>
            <family val="2"/>
          </rPr>
          <t>Billy Tsekos:</t>
        </r>
        <r>
          <rPr>
            <sz val="9"/>
            <color indexed="81"/>
            <rFont val="Tahoma"/>
            <family val="2"/>
          </rPr>
          <t xml:space="preserve">
</t>
        </r>
        <r>
          <rPr>
            <b/>
            <sz val="9"/>
            <color indexed="81"/>
            <rFont val="Tahoma"/>
            <family val="2"/>
          </rPr>
          <t>NR-P.32:</t>
        </r>
        <r>
          <rPr>
            <sz val="9"/>
            <color indexed="81"/>
            <rFont val="Tahoma"/>
            <family val="2"/>
          </rPr>
          <t xml:space="preserve">The distribution of otters populations has been reduced, and they are currently in serious danger due to fragmentation and loss of habitats. Chances of re-populating sites have narrowed down over the last 12 years, and the chances of extinction of habitats have increased and continue to rise steadily. It is therefore recommended to take a number of actions in parallel:
• The establishment of an effective breeding nucleus.
• Rehabilitation of ecological corridors linking habitats.
• Restoration of water bodies, such as abandoned fish ponds, and wetland habitats to maintain a stable and multiplying population.
</t>
        </r>
        <r>
          <rPr>
            <b/>
            <sz val="9"/>
            <color indexed="81"/>
            <rFont val="Tahoma"/>
            <family val="2"/>
          </rPr>
          <t xml:space="preserve">
NR-P.102:</t>
        </r>
        <r>
          <rPr>
            <sz val="9"/>
            <color indexed="81"/>
            <rFont val="Tahoma"/>
            <family val="2"/>
          </rPr>
          <t xml:space="preserve"> Action plan to address fragmentation by infrastructure.
</t>
        </r>
        <r>
          <rPr>
            <b/>
            <sz val="9"/>
            <color indexed="81"/>
            <rFont val="Tahoma"/>
            <family val="2"/>
          </rPr>
          <t xml:space="preserve">
NR-P.145:</t>
        </r>
        <r>
          <rPr>
            <sz val="9"/>
            <color indexed="81"/>
            <rFont val="Tahoma"/>
            <family val="2"/>
          </rPr>
          <t xml:space="preserve"> Case Study: Ecological Corridors</t>
        </r>
      </text>
    </comment>
    <comment ref="BI92" authorId="2">
      <text>
        <r>
          <rPr>
            <b/>
            <sz val="9"/>
            <color indexed="81"/>
            <rFont val="Tahoma"/>
            <family val="2"/>
          </rPr>
          <t>Billy Tsekos:</t>
        </r>
        <r>
          <rPr>
            <sz val="9"/>
            <color indexed="81"/>
            <rFont val="Tahoma"/>
            <family val="2"/>
          </rPr>
          <t xml:space="preserve">
</t>
        </r>
        <r>
          <rPr>
            <b/>
            <sz val="9"/>
            <color indexed="81"/>
            <rFont val="Tahoma"/>
            <family val="2"/>
          </rPr>
          <t xml:space="preserve">NR-P.63: </t>
        </r>
        <r>
          <rPr>
            <sz val="9"/>
            <color indexed="81"/>
            <rFont val="Tahoma"/>
            <family val="2"/>
          </rPr>
          <t>by 2025 restoration of wetlands in critical state, including streams and winter ponds, will be accomplished, and restoration of underrepresented ecosystems and extinct species will take place as a management routine.</t>
        </r>
      </text>
    </comment>
    <comment ref="BL92"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Additionally, Israel has adopted a Green Growth Strategy</t>
        </r>
      </text>
    </comment>
    <comment ref="BP92" authorId="2">
      <text>
        <r>
          <rPr>
            <b/>
            <sz val="9"/>
            <color indexed="81"/>
            <rFont val="Tahoma"/>
            <family val="2"/>
          </rPr>
          <t>Billy Tsekos:</t>
        </r>
        <r>
          <rPr>
            <sz val="9"/>
            <color indexed="81"/>
            <rFont val="Tahoma"/>
            <family val="2"/>
          </rPr>
          <t xml:space="preserve">
</t>
        </r>
        <r>
          <rPr>
            <b/>
            <sz val="9"/>
            <color indexed="81"/>
            <rFont val="Tahoma"/>
            <family val="2"/>
          </rPr>
          <t xml:space="preserve">NR-P.96:  </t>
        </r>
        <r>
          <rPr>
            <sz val="9"/>
            <color indexed="81"/>
            <rFont val="Tahoma"/>
            <family val="2"/>
          </rPr>
          <t xml:space="preserve">Rivers management and rehabilitation
</t>
        </r>
        <r>
          <rPr>
            <b/>
            <sz val="9"/>
            <color indexed="81"/>
            <rFont val="Tahoma"/>
            <family val="2"/>
          </rPr>
          <t xml:space="preserve">NR-P.102:  </t>
        </r>
        <r>
          <rPr>
            <sz val="9"/>
            <color indexed="81"/>
            <rFont val="Tahoma"/>
            <family val="2"/>
          </rPr>
          <t xml:space="preserve">Action plan for conservation and restoration of freshwater ecosystems (In Preparation) 
</t>
        </r>
        <r>
          <rPr>
            <b/>
            <sz val="9"/>
            <color indexed="81"/>
            <rFont val="Tahoma"/>
            <family val="2"/>
          </rPr>
          <t>NR-P.140:</t>
        </r>
        <r>
          <rPr>
            <sz val="9"/>
            <color indexed="81"/>
            <rFont val="Tahoma"/>
            <family val="2"/>
          </rPr>
          <t xml:space="preserve"> In total, between 1990 and 2010 Israel gained 16.7% of its forest cover or around 22,000 ha. This is due to its renowned afforestation program. Israel’s forests host several terrestrial endemic species, and they contain 5 million metric tons of carbon in living forest biomass.
• The 1926 Forestry Ordinance remains the basis for current formal afforestation policy in Israel. Although the act is still in force, afforestation policy is largely implemented under the guidelines included in the 1995 National Master Plan for Forests and Afforestation , under which about 1,620 km2 of forest and open spaces is protected
</t>
        </r>
      </text>
    </comment>
    <comment ref="BX92"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The major long-term threats to biodiversity in Israel are: (a) increased loss of natural ecosystems due to substitutions and transformations; (b) increasing fragmentation of the remaining natural ecosystems; and (c) reducing water allocation to natural ecosystems. The consequences of these threats are: (a) loss of species and of species populations; (b) reduction of intra-species diversity; (c) loss of particular combinations of populations and species. The detrimental effects on the sustainability of development in Israel due to these consequences to biodiversity are: (a) impairment of ecosystem services; and (b) loss of biodiversity assets of potential economic significance.</t>
        </r>
      </text>
    </comment>
    <comment ref="CC92" authorId="2">
      <text>
        <r>
          <rPr>
            <b/>
            <sz val="9"/>
            <color indexed="81"/>
            <rFont val="Tahoma"/>
            <family val="2"/>
          </rPr>
          <t>Billy Tsekos:</t>
        </r>
        <r>
          <rPr>
            <sz val="9"/>
            <color indexed="81"/>
            <rFont val="Tahoma"/>
            <family val="2"/>
          </rPr>
          <t xml:space="preserve">
</t>
        </r>
        <r>
          <rPr>
            <b/>
            <sz val="9"/>
            <color indexed="81"/>
            <rFont val="Tahoma"/>
            <family val="2"/>
          </rPr>
          <t>NR-P.23:</t>
        </r>
        <r>
          <rPr>
            <sz val="9"/>
            <color indexed="81"/>
            <rFont val="Tahoma"/>
            <family val="2"/>
          </rPr>
          <t xml:space="preserve"> To cope with these threats, Israel founded national monitoring systems for biodiversity in the terrestrial, aquatic and marine ecosystems, providing data on the trends and state of biodiversity</t>
        </r>
      </text>
    </comment>
    <comment ref="CK92" authorId="2">
      <text>
        <r>
          <rPr>
            <b/>
            <sz val="9"/>
            <color indexed="81"/>
            <rFont val="Tahoma"/>
            <family val="2"/>
          </rPr>
          <t>Billy Tsekos:</t>
        </r>
        <r>
          <rPr>
            <sz val="9"/>
            <color indexed="81"/>
            <rFont val="Tahoma"/>
            <family val="2"/>
          </rPr>
          <t xml:space="preserve">
</t>
        </r>
        <r>
          <rPr>
            <b/>
            <sz val="9"/>
            <color indexed="81"/>
            <rFont val="Tahoma"/>
            <family val="2"/>
          </rPr>
          <t>NR-p.140:</t>
        </r>
        <r>
          <rPr>
            <sz val="9"/>
            <color indexed="81"/>
            <rFont val="Tahoma"/>
            <family val="2"/>
          </rPr>
          <t xml:space="preserve">  Israel’s forests host several terrestrial endemic species, and they contain 5 million metric tons of carbon in living forest biomass.</t>
        </r>
      </text>
    </comment>
    <comment ref="CQ92" authorId="2">
      <text>
        <r>
          <rPr>
            <b/>
            <sz val="9"/>
            <color indexed="81"/>
            <rFont val="Tahoma"/>
            <family val="2"/>
          </rPr>
          <t>Billy Tsekos:</t>
        </r>
        <r>
          <rPr>
            <sz val="9"/>
            <color indexed="81"/>
            <rFont val="Tahoma"/>
            <family val="2"/>
          </rPr>
          <t xml:space="preserve">
</t>
        </r>
        <r>
          <rPr>
            <b/>
            <sz val="9"/>
            <color indexed="81"/>
            <rFont val="Tahoma"/>
            <family val="2"/>
          </rPr>
          <t>NR-P.4:</t>
        </r>
        <r>
          <rPr>
            <sz val="9"/>
            <color indexed="81"/>
            <rFont val="Tahoma"/>
            <family val="2"/>
          </rPr>
          <t xml:space="preserve"> 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t>
        </r>
        <r>
          <rPr>
            <b/>
            <sz val="9"/>
            <color indexed="81"/>
            <rFont val="Tahoma"/>
            <family val="2"/>
          </rPr>
          <t>NR-P.91:</t>
        </r>
        <r>
          <rPr>
            <sz val="9"/>
            <color indexed="81"/>
            <rFont val="Tahoma"/>
            <family val="2"/>
          </rPr>
          <t xml:space="preserve"> A National Strategy and Action Plan for Climate Change Adaptation is currently being
formulated and draft recommendations have been prepared</t>
        </r>
      </text>
    </comment>
    <comment ref="CW92" authorId="2">
      <text>
        <r>
          <rPr>
            <b/>
            <sz val="9"/>
            <color indexed="81"/>
            <rFont val="Tahoma"/>
            <family val="2"/>
          </rPr>
          <t>Billy Tsekos:</t>
        </r>
        <r>
          <rPr>
            <sz val="9"/>
            <color indexed="81"/>
            <rFont val="Tahoma"/>
            <family val="2"/>
          </rPr>
          <t xml:space="preserve">
</t>
        </r>
        <r>
          <rPr>
            <b/>
            <sz val="9"/>
            <color indexed="81"/>
            <rFont val="Tahoma"/>
            <family val="2"/>
          </rPr>
          <t xml:space="preserve">NR-P.68: </t>
        </r>
        <r>
          <rPr>
            <sz val="9"/>
            <color indexed="81"/>
            <rFont val="Tahoma"/>
            <family val="2"/>
          </rPr>
          <t xml:space="preserve">Since the last report there was an increase of 7% (160Km2) in the area of declared nature reserves, and of 2.5% (45Km2) in suggested areas for declaration.
</t>
        </r>
        <r>
          <rPr>
            <b/>
            <sz val="9"/>
            <color indexed="81"/>
            <rFont val="Tahoma"/>
            <family val="2"/>
          </rPr>
          <t>NR-P.69</t>
        </r>
        <r>
          <rPr>
            <sz val="9"/>
            <color indexed="81"/>
            <rFont val="Tahoma"/>
            <family val="2"/>
          </rPr>
          <t>:Protected areas declaration – total area over years in Km2</t>
        </r>
      </text>
    </comment>
    <comment ref="Z93" authorId="2">
      <text>
        <r>
          <rPr>
            <b/>
            <sz val="9"/>
            <color indexed="81"/>
            <rFont val="Tahoma"/>
            <family val="2"/>
          </rPr>
          <t>Billy Tsekos:</t>
        </r>
        <r>
          <rPr>
            <sz val="9"/>
            <color indexed="81"/>
            <rFont val="Tahoma"/>
            <family val="2"/>
          </rPr>
          <t xml:space="preserve">
</t>
        </r>
        <r>
          <rPr>
            <b/>
            <sz val="9"/>
            <color indexed="81"/>
            <rFont val="Tahoma"/>
            <family val="2"/>
          </rPr>
          <t>NR-P.16:</t>
        </r>
        <r>
          <rPr>
            <sz val="9"/>
            <color indexed="81"/>
            <rFont val="Tahoma"/>
            <family val="2"/>
          </rPr>
          <t xml:space="preserve"> Italian forested area went till now through a gradual and constant increase, spanning from 8,765,000 ha in 1985 to 10,987,805 ha in 2013, with an increase of 26.7%. This has been confirmed in recent years (Figure 1), and is partially linked to forestation activities, and in more importantly to natural forest colonization of abandoned agricultural land in hilly and mountainous areas.
</t>
        </r>
        <r>
          <rPr>
            <b/>
            <sz val="9"/>
            <color indexed="81"/>
            <rFont val="Tahoma"/>
            <family val="2"/>
          </rPr>
          <t xml:space="preserve">NR-P.31: </t>
        </r>
        <r>
          <rPr>
            <sz val="9"/>
            <color indexed="81"/>
            <rFont val="Tahoma"/>
            <family val="2"/>
          </rPr>
          <t>At the end of 2009 about 12% of national forested areas have been acknowledged under at least one of the two certification schemes, PEPC (Programme for the Endrosement of Forest Certification) or FSC (Forest Stewardship Council). By the end of 2012 forested areas with the double certification totalled to 34,725 ha, with 5,800 in Tuscany, 16,347 in Lombardia and 12,578 in Trentino</t>
        </r>
      </text>
    </comment>
    <comment ref="BA93" authorId="0">
      <text>
        <r>
          <rPr>
            <sz val="9"/>
            <color indexed="81"/>
            <rFont val="Tahoma"/>
            <family val="2"/>
          </rPr>
          <t>NI</t>
        </r>
      </text>
    </comment>
    <comment ref="BX93" authorId="2">
      <text>
        <r>
          <rPr>
            <b/>
            <sz val="9"/>
            <color indexed="81"/>
            <rFont val="Tahoma"/>
            <family val="2"/>
          </rPr>
          <t>Billy Tsekos:</t>
        </r>
        <r>
          <rPr>
            <sz val="9"/>
            <color indexed="81"/>
            <rFont val="Tahoma"/>
            <family val="2"/>
          </rPr>
          <t xml:space="preserve">
</t>
        </r>
        <r>
          <rPr>
            <b/>
            <sz val="9"/>
            <color indexed="81"/>
            <rFont val="Tahoma"/>
            <family val="2"/>
          </rPr>
          <t xml:space="preserve">NR-P.8: </t>
        </r>
        <r>
          <rPr>
            <sz val="9"/>
            <color indexed="81"/>
            <rFont val="Tahoma"/>
            <family val="2"/>
          </rPr>
          <t>Impacts are mainly generated by ecosystem changes due to humane activities (pollution of surface runoff, habitat fragmentation, use of biocides hormones and chemical products), together with forestry and agriculture not properly managed, abandonment of pastoral activities, leading to reduction of semi-natural habitats, to urbanizations and anthropic disturbance. Anthropic disturbance is the main threat to habitats of Union interest, together with the building of infrastructures, alien species and change in ecosystems; moreover intentional fires have high impact on some habitats.</t>
        </r>
      </text>
    </comment>
    <comment ref="CH93" authorId="2">
      <text>
        <r>
          <rPr>
            <b/>
            <sz val="9"/>
            <color indexed="81"/>
            <rFont val="Tahoma"/>
            <family val="2"/>
          </rPr>
          <t>Billy Tsekos:</t>
        </r>
        <r>
          <rPr>
            <sz val="9"/>
            <color indexed="81"/>
            <rFont val="Tahoma"/>
            <family val="2"/>
          </rPr>
          <t xml:space="preserve">
</t>
        </r>
        <r>
          <rPr>
            <b/>
            <sz val="9"/>
            <color indexed="81"/>
            <rFont val="Tahoma"/>
            <family val="2"/>
          </rPr>
          <t xml:space="preserve">NR-P.49: </t>
        </r>
        <r>
          <rPr>
            <sz val="9"/>
            <color indexed="81"/>
            <rFont val="Tahoma"/>
            <family val="2"/>
          </rPr>
          <t>Italy takes part to GEF (Global Environmental Facility), financial mechanism for CBD and othe UNEP Conventions. Throughout this fund, several initiative have been funded, with particular concern to forest issue and to project of REDD (Reducing Emissions from Deforestation and forest Degradation) and REDD +. During the period 2010-2012 GEF funded more than 19 M dollars REDD+ projects, and other 79.99 M dollars used within bilateral cooperation (in addition 5 M dollars for the Forest Carbon Partnership facility totaling 104.29 dollars). Different interventions realized promoted sustainable use and management of natural resources and biodiversity in forested areas, as well as prevention of fires.</t>
        </r>
      </text>
    </comment>
    <comment ref="CK93" authorId="2">
      <text>
        <r>
          <rPr>
            <b/>
            <sz val="9"/>
            <color indexed="81"/>
            <rFont val="Tahoma"/>
            <family val="2"/>
          </rPr>
          <t>Billy Tsekos:</t>
        </r>
        <r>
          <rPr>
            <sz val="9"/>
            <color indexed="81"/>
            <rFont val="Tahoma"/>
            <family val="2"/>
          </rPr>
          <t xml:space="preserve">
</t>
        </r>
        <r>
          <rPr>
            <b/>
            <sz val="9"/>
            <color indexed="81"/>
            <rFont val="Tahoma"/>
            <family val="2"/>
          </rPr>
          <t xml:space="preserve"> NR-P.43:</t>
        </r>
        <r>
          <rPr>
            <sz val="9"/>
            <color indexed="81"/>
            <rFont val="Tahoma"/>
            <family val="2"/>
          </rPr>
          <t xml:space="preserve"> In National Parks areas CO2 accumulation is more than 5.1 tons higher for ha than in external habitats. Some woods can even double CO2 accumulation. Beechwood contributes to 21% of carbon sequestratio</t>
        </r>
      </text>
    </comment>
    <comment ref="CP93" authorId="2">
      <text>
        <r>
          <rPr>
            <b/>
            <sz val="9"/>
            <color indexed="81"/>
            <rFont val="Tahoma"/>
            <family val="2"/>
          </rPr>
          <t>Billy Tsekos:</t>
        </r>
        <r>
          <rPr>
            <sz val="9"/>
            <color indexed="81"/>
            <rFont val="Tahoma"/>
            <family val="2"/>
          </rPr>
          <t xml:space="preserve">
</t>
        </r>
        <r>
          <rPr>
            <b/>
            <sz val="9"/>
            <color indexed="81"/>
            <rFont val="Tahoma"/>
            <family val="2"/>
          </rPr>
          <t xml:space="preserve">NR-P.46: </t>
        </r>
        <r>
          <rPr>
            <sz val="9"/>
            <color indexed="81"/>
            <rFont val="Tahoma"/>
            <family val="2"/>
          </rPr>
          <t xml:space="preserve">Among priorities, according to NBS, there are intervention aiming to maintain and restore biodiversity e related ecosystem services, to guarantee resilience to climate change and as a natural defense against climate change consequence.
</t>
        </r>
      </text>
    </comment>
    <comment ref="CQ93" authorId="2">
      <text>
        <r>
          <rPr>
            <b/>
            <sz val="9"/>
            <color indexed="81"/>
            <rFont val="Tahoma"/>
            <family val="2"/>
          </rPr>
          <t>Billy Tsekos:</t>
        </r>
        <r>
          <rPr>
            <sz val="9"/>
            <color indexed="81"/>
            <rFont val="Tahoma"/>
            <family val="2"/>
          </rPr>
          <t xml:space="preserve">
</t>
        </r>
        <r>
          <rPr>
            <b/>
            <sz val="9"/>
            <color indexed="81"/>
            <rFont val="Tahoma"/>
            <family val="2"/>
          </rPr>
          <t>NR-P.46:</t>
        </r>
        <r>
          <rPr>
            <sz val="9"/>
            <color indexed="81"/>
            <rFont val="Tahoma"/>
            <family val="2"/>
          </rPr>
          <t xml:space="preserve"> Italy's National Strategy for Climate Adaptation</t>
        </r>
      </text>
    </comment>
    <comment ref="CW93"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Data also show the central role of the protected area system in conserving biodiversity, covering more than 21% of the Italian territory and more than 19% of territorial waters. The protected territory (national system of protected areas, Natura 2000 Network sites, Ramsar sites) showed a slight increase, and is higher than requested by the Aichy Target 11.</t>
        </r>
      </text>
    </comment>
    <comment ref="ER93" authorId="0">
      <text>
        <r>
          <rPr>
            <sz val="9"/>
            <color indexed="81"/>
            <rFont val="Tahoma"/>
            <family val="2"/>
          </rPr>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r>
      </text>
    </comment>
    <comment ref="Z95" authorId="1">
      <text>
        <r>
          <rPr>
            <b/>
            <sz val="9"/>
            <color indexed="81"/>
            <rFont val="Tahoma"/>
            <family val="2"/>
          </rPr>
          <t>billy.tsekos:</t>
        </r>
        <r>
          <rPr>
            <sz val="9"/>
            <color indexed="81"/>
            <rFont val="Tahoma"/>
            <family val="2"/>
          </rPr>
          <t xml:space="preserve">
</t>
        </r>
        <r>
          <rPr>
            <b/>
            <sz val="9"/>
            <color indexed="81"/>
            <rFont val="Tahoma"/>
            <family val="2"/>
          </rPr>
          <t>NR-P.7:</t>
        </r>
        <r>
          <rPr>
            <sz val="9"/>
            <color indexed="81"/>
            <rFont val="Tahoma"/>
            <family val="2"/>
          </rPr>
          <t xml:space="preserve"> A 1:50,000 current vegetation map of Japan, covering the entire area of Japan has been developed based on the results of the National Survey on the Natural Environment. With respect to the percentage of each
vegetation type to the total land area, forests (natural forests, secondary forests close to natural forests, other
secondary forests and afforested land) account for 67%, which is similar to Scandinavian countries such as
Sweden (70%). The forest coverage in Japan is also very high compared to other developed countries
including the United Kingdom (12%) and the United States (33%). Forests account for about two thirds of the
total area of Japan, of which natural forests account for 17.9% of the total area of Japan. Natural vegetation
(natural forests plus natural grasslands) accounts for 19.0% of the total area of Japan. Natural vegetation areas
are distributed mainly in areas which tend to be isolated from human activities such as steep mountains,
peninsulas and islands</t>
        </r>
      </text>
    </comment>
    <comment ref="BA95" authorId="0">
      <text>
        <r>
          <rPr>
            <b/>
            <sz val="9"/>
            <color indexed="81"/>
            <rFont val="Tahoma"/>
            <family val="2"/>
          </rPr>
          <t xml:space="preserve">NR-P.65: </t>
        </r>
        <r>
          <rPr>
            <sz val="9"/>
            <color indexed="81"/>
            <rFont val="Tahoma"/>
            <family val="2"/>
          </rPr>
          <t xml:space="preserve">Significantly reduce the rate of loss of natural habitats, as well as their degradation and fragmentation, by 2020 
</t>
        </r>
      </text>
    </comment>
    <comment ref="BD95" authorId="1">
      <text>
        <r>
          <rPr>
            <b/>
            <sz val="9"/>
            <color indexed="81"/>
            <rFont val="Tahoma"/>
            <family val="2"/>
          </rPr>
          <t>billy.tsekos:</t>
        </r>
        <r>
          <rPr>
            <sz val="9"/>
            <color indexed="81"/>
            <rFont val="Tahoma"/>
            <family val="2"/>
          </rPr>
          <t xml:space="preserve">
2020</t>
        </r>
      </text>
    </comment>
    <comment ref="BH95" authorId="1">
      <text>
        <r>
          <rPr>
            <b/>
            <sz val="9"/>
            <color indexed="81"/>
            <rFont val="Tahoma"/>
            <family val="2"/>
          </rPr>
          <t>billy.tsekos:</t>
        </r>
        <r>
          <rPr>
            <sz val="9"/>
            <color indexed="81"/>
            <rFont val="Tahoma"/>
            <family val="2"/>
          </rPr>
          <t xml:space="preserve">
</t>
        </r>
        <r>
          <rPr>
            <b/>
            <sz val="9"/>
            <color indexed="81"/>
            <rFont val="Tahoma"/>
            <family val="2"/>
          </rPr>
          <t>NR-P.65:</t>
        </r>
        <r>
          <rPr>
            <sz val="9"/>
            <color indexed="81"/>
            <rFont val="Tahoma"/>
            <family val="2"/>
          </rPr>
          <t xml:space="preserve">National Target: B-1 Significantly reduce the rate of loss of natural habitats, as well as their degradation and fragmentation, by 2020 
Progress is being made with initiatives that are conducive to the formation of ecological networks and individual initiatives for things like the restoration of nature. While it is conjectured that the rate of loss of natural habitats is on a downward trajectory, it will be necessary to continue to examine methods to determine this rate and the state of their degradation and fragmentation. </t>
        </r>
      </text>
    </comment>
    <comment ref="BI95" authorId="0">
      <text>
        <r>
          <rPr>
            <b/>
            <sz val="9"/>
            <color indexed="81"/>
            <rFont val="Tahoma"/>
            <family val="2"/>
          </rPr>
          <t>NR-P.84:</t>
        </r>
        <r>
          <rPr>
            <sz val="9"/>
            <color indexed="81"/>
            <rFont val="Tahoma"/>
            <family val="2"/>
          </rPr>
          <t xml:space="preserve">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r>
      </text>
    </comment>
    <comment ref="BL95" authorId="1">
      <text>
        <r>
          <rPr>
            <b/>
            <sz val="9"/>
            <color indexed="81"/>
            <rFont val="Tahoma"/>
            <family val="2"/>
          </rPr>
          <t>billy.tsekos:</t>
        </r>
        <r>
          <rPr>
            <sz val="9"/>
            <color indexed="81"/>
            <rFont val="Tahoma"/>
            <family val="2"/>
          </rPr>
          <t xml:space="preserve">
</t>
        </r>
        <r>
          <rPr>
            <b/>
            <sz val="9"/>
            <color indexed="81"/>
            <rFont val="Tahoma"/>
            <family val="2"/>
          </rPr>
          <t>NR-P.84:</t>
        </r>
        <r>
          <rPr>
            <sz val="9"/>
            <color indexed="81"/>
            <rFont val="Tahoma"/>
            <family val="2"/>
          </rPr>
          <t xml:space="preserve"> Establish methods and standard values to serve as baselines designed to understand the status of conservation and restoration of ecosystems, as well as sorting out their current status, by the midterm review of the Aichi Biodiversity Targets that arescheduled for 2014 or early in 2015 (MOE, MAFF). 
</t>
        </r>
        <r>
          <rPr>
            <b/>
            <sz val="9"/>
            <color indexed="81"/>
            <rFont val="Tahoma"/>
            <family val="2"/>
          </rPr>
          <t>NR-P.84:</t>
        </r>
        <r>
          <rPr>
            <sz val="9"/>
            <color indexed="81"/>
            <rFont val="Tahoma"/>
            <family val="2"/>
          </rPr>
          <t xml:space="preserve">Promote measures for the conservation and restoration of ecosystems, thereby advancing measures that will contribute to climate change mitigation and adaptation (MOE, MAFF, MLIT). </t>
        </r>
      </text>
    </comment>
    <comment ref="BP95" authorId="1">
      <text>
        <r>
          <rPr>
            <b/>
            <sz val="9"/>
            <color indexed="81"/>
            <rFont val="Tahoma"/>
            <family val="2"/>
          </rPr>
          <t>billy.tsekos:</t>
        </r>
        <r>
          <rPr>
            <sz val="9"/>
            <color indexed="81"/>
            <rFont val="Tahoma"/>
            <family val="2"/>
          </rPr>
          <t xml:space="preserve">
</t>
        </r>
        <r>
          <rPr>
            <b/>
            <sz val="9"/>
            <color indexed="81"/>
            <rFont val="Tahoma"/>
            <family val="2"/>
          </rPr>
          <t>NR-P.84:</t>
        </r>
        <r>
          <rPr>
            <sz val="9"/>
            <color indexed="81"/>
            <rFont val="Tahoma"/>
            <family val="2"/>
          </rPr>
          <t>Initiatives for nature restoration, appropriate  forest operations, and the establishment of green corridors are being advanced nationwide, as evidenced by the initiatives for nature restoration based on the Law for the Promotion of Nature Restoration having been carried out in 24 locations  over 480,000 ha. The expectation is that these initiatives will contribute to climate change mitigation and adaptation.
The number of locations in which initiatives are being carried out via the Law for the Promotion of Nature Restoration, and the area for Protected Forests and Green Corridors on  National Forest are trending upwards. What is more, sink measures are also steadily being advanced through the promotion of efforts like forest maintenance and urban greening. However, consideration must continue to be given to methods to determine the ecosystem conservation and restoration status.</t>
        </r>
      </text>
    </comment>
    <comment ref="BX95" authorId="1">
      <text>
        <r>
          <rPr>
            <b/>
            <sz val="9"/>
            <color indexed="81"/>
            <rFont val="Tahoma"/>
            <family val="2"/>
          </rPr>
          <t>billy.tsekos:</t>
        </r>
        <r>
          <rPr>
            <sz val="9"/>
            <color indexed="81"/>
            <rFont val="Tahoma"/>
            <family val="2"/>
          </rPr>
          <t xml:space="preserve">
</t>
        </r>
        <r>
          <rPr>
            <b/>
            <sz val="9"/>
            <color indexed="81"/>
            <rFont val="Tahoma"/>
            <family val="2"/>
          </rPr>
          <t>NR- P.19:</t>
        </r>
        <r>
          <rPr>
            <sz val="9"/>
            <color indexed="81"/>
            <rFont val="Tahoma"/>
            <family val="2"/>
          </rPr>
          <t xml:space="preserve"> It was also pointed out that there was degradation of all types of habitats in flat areas other than forests (such as grassland, dry riverbeds and wetlands). In addition, impacts caused by the degradation of waterside habitats around human settlements, predation by alien species and overexploitation for breeding purposes were pointed out since many water bug species including whirligig beetles were ranked higher than before. 
</t>
        </r>
        <r>
          <rPr>
            <b/>
            <sz val="9"/>
            <color indexed="81"/>
            <rFont val="Tahoma"/>
            <family val="2"/>
          </rPr>
          <t xml:space="preserve">NR- P.20: </t>
        </r>
        <r>
          <rPr>
            <sz val="9"/>
            <color indexed="81"/>
            <rFont val="Tahoma"/>
            <family val="2"/>
          </rPr>
          <t xml:space="preserve">After the tsunami, many affected areas became covered by weeds or were converted to land prepared for development and yards for storing debris. Such places were found all over the flooded areas. In the coastal areas, about 497 hectares of lands covered with sand-dune vegetation were lost, and about 829 hectares of coastal forests were lost. Many of these areas were converted to non-natural sites such as land prepared for development or left to become wasteland. Therefore, natural environment has had changed dramatically
</t>
        </r>
        <r>
          <rPr>
            <b/>
            <sz val="9"/>
            <color indexed="81"/>
            <rFont val="Tahoma"/>
            <family val="2"/>
          </rPr>
          <t xml:space="preserve">NR- P.30: </t>
        </r>
        <r>
          <rPr>
            <sz val="9"/>
            <color indexed="81"/>
            <rFont val="Tahoma"/>
            <family val="2"/>
          </rPr>
          <t>Second crisis (caused by reduced human activities) Satoyama environments have been maintained through the production activities of agriculture, forestry and fisheries as well as through utilization in daily life. However, due to the reduced use of forests and farmland caused by changes in the type of fuel used and the type of farming conducted as well as the population decline and aging, human activity in Satoyama areas is declining. This is causing the degradation or decline of habitats for organisms which rely on Satoyama environments. On the other hand, the populations of medium and large mammals including the sika deer (Cervus nippon), the Japanese macaque (Macaca fuscata) and the wild boar (Sus scrofa) have increased considerably with their distribution expanding, which is causing serious damage to agriculture and forestry and is affecting ecosystems as well as causing injuries to humans every year.</t>
        </r>
      </text>
    </comment>
    <comment ref="CC95" authorId="1">
      <text>
        <r>
          <rPr>
            <b/>
            <sz val="9"/>
            <color indexed="81"/>
            <rFont val="Tahoma"/>
            <family val="2"/>
          </rPr>
          <t>billy.tsekos:</t>
        </r>
        <r>
          <rPr>
            <sz val="9"/>
            <color indexed="81"/>
            <rFont val="Tahoma"/>
            <family val="2"/>
          </rPr>
          <t xml:space="preserve">
</t>
        </r>
        <r>
          <rPr>
            <b/>
            <sz val="9"/>
            <color indexed="81"/>
            <rFont val="Tahoma"/>
            <family val="2"/>
          </rPr>
          <t xml:space="preserve">NR-P. 22: </t>
        </r>
        <r>
          <rPr>
            <sz val="9"/>
            <color indexed="81"/>
            <rFont val="Tahoma"/>
            <family val="2"/>
          </rPr>
          <t xml:space="preserve">As for the drivers of the loss, the “first crisis,” particularly development, has had the greatest impact, but the speed at which loss attributable to this crisis has slightly abated. The “second crisis” continues to intensify. Furthermore, among all the factors falling under the “third crisis,” the effects of alien species are particularly prominent in recent years. The “climate change crisis,” which is the fourth crisis, poses serious concerns for certain ecosystems that are particularly vulnerable. </t>
        </r>
        <r>
          <rPr>
            <b/>
            <sz val="9"/>
            <color indexed="81"/>
            <rFont val="Tahoma"/>
            <family val="2"/>
          </rPr>
          <t>Various countermeasures have been taken to address these crises.</t>
        </r>
        <r>
          <rPr>
            <sz val="9"/>
            <color indexed="81"/>
            <rFont val="Tahoma"/>
            <family val="2"/>
          </rPr>
          <t xml:space="preserve"> These countermeasures have been effective to a certain degree, but given the major socioeconomic changes in Japan that indirectly drive biodiversity loss, they have not been sufficiently effective. 
</t>
        </r>
      </text>
    </comment>
    <comment ref="CP95" authorId="1">
      <text>
        <r>
          <rPr>
            <b/>
            <sz val="9"/>
            <color indexed="81"/>
            <rFont val="Tahoma"/>
            <family val="2"/>
          </rPr>
          <t>billy.tsekos:</t>
        </r>
        <r>
          <rPr>
            <sz val="9"/>
            <color indexed="81"/>
            <rFont val="Tahoma"/>
            <family val="2"/>
          </rPr>
          <t xml:space="preserve">
</t>
        </r>
        <r>
          <rPr>
            <b/>
            <sz val="9"/>
            <color indexed="81"/>
            <rFont val="Tahoma"/>
            <family val="2"/>
          </rPr>
          <t>NR-P18:</t>
        </r>
        <r>
          <rPr>
            <sz val="9"/>
            <color indexed="81"/>
            <rFont val="Tahoma"/>
            <family val="2"/>
          </rPr>
          <t xml:space="preserve"> Impacts of the Great East Japan Earthquake on biodiversity The natural environment of the Pacific coast in the Tohoku Region was greatly influenced by the Great East Japan Earthquake which occurred in March 2011, because it caused major changes to the topography of the area which provides the foundation for ecosystems. The earthquake caused land subsidence and the tsunami moved vast amounts of soil. The affected area contains many priority areas for biodiversity conservation 20 including some of the 500 Important Wetlands in Japan and Important Bird Areas (IBA). This therefore was an opportunity to reacknowledge that the coastal ecosystems such as coastal forests can contribute to disaster risk reduction, and it is important to maintain healthy ecosystems in order to protect the socio-economic transactions and the resilience of them and the ecosystems.</t>
        </r>
      </text>
    </comment>
    <comment ref="CQ95" authorId="1">
      <text>
        <r>
          <rPr>
            <b/>
            <sz val="9"/>
            <color indexed="81"/>
            <rFont val="Tahoma"/>
            <family val="2"/>
          </rPr>
          <t>billy.tsekos:</t>
        </r>
        <r>
          <rPr>
            <sz val="9"/>
            <color indexed="81"/>
            <rFont val="Tahoma"/>
            <family val="2"/>
          </rPr>
          <t xml:space="preserve">
</t>
        </r>
        <r>
          <rPr>
            <b/>
            <sz val="9"/>
            <color indexed="81"/>
            <rFont val="Tahoma"/>
            <family val="2"/>
          </rPr>
          <t xml:space="preserve">NR-P.85: </t>
        </r>
        <r>
          <rPr>
            <sz val="9"/>
            <color indexed="81"/>
            <rFont val="Tahoma"/>
            <family val="2"/>
          </rPr>
          <t xml:space="preserve">Contribute to climate change mitigation and adaptation by means of promoting forest sink measures such as properly carrying out forest operations like thinning in forests, as well as establishing green corridors to serve as migration routes for wildlife (MAFF)
</t>
        </r>
        <r>
          <rPr>
            <b/>
            <sz val="9"/>
            <color indexed="81"/>
            <rFont val="Tahoma"/>
            <family val="2"/>
          </rPr>
          <t xml:space="preserve">NR-P. 22: </t>
        </r>
        <r>
          <rPr>
            <sz val="9"/>
            <color indexed="81"/>
            <rFont val="Tahoma"/>
            <family val="2"/>
          </rPr>
          <t xml:space="preserve">The “climate change crisis,” which is the fourth crisis, poses serious concerns for certain ecosystems that are particularly vulnerable. Various countermeasures have been taken to address these crises. These countermeasures have been effective to a certain degree, but given the major socioeconomic changes in Japan that indirectly drive biodiversity loss, they have not been sufficiently effective. 
</t>
        </r>
        <r>
          <rPr>
            <b/>
            <sz val="9"/>
            <color indexed="81"/>
            <rFont val="Tahoma"/>
            <family val="2"/>
          </rPr>
          <t xml:space="preserve">NR-P. 26: </t>
        </r>
        <r>
          <rPr>
            <sz val="9"/>
            <color indexed="81"/>
            <rFont val="Tahoma"/>
            <family val="2"/>
          </rPr>
          <t xml:space="preserve">Biodiversity is particularly vulnerable to climate change. The Fourth Assessment Report (2007) of the IPCC
predicts that, when the increase in the global average temperature exceeds 1.5 to 2.5°C, 20% to 30% of animals and plants that have been assessed will be at an increased risk of extinction. If the increase exceeds 4.0°C, it is predicted that there will be a grave global extinction of 40% or more of species. It is also estimated that an increase in the sea surface temperature by about 1 to 3°C will cause the frequent occurrence of coral bleaching and extinction over wide areas.
</t>
        </r>
        <r>
          <rPr>
            <b/>
            <sz val="9"/>
            <color indexed="81"/>
            <rFont val="Tahoma"/>
            <family val="2"/>
          </rPr>
          <t>NR-P. 73:</t>
        </r>
        <r>
          <rPr>
            <sz val="9"/>
            <color indexed="81"/>
            <rFont val="Tahoma"/>
            <family val="2"/>
          </rPr>
          <t xml:space="preserve">However, initiatives geared towards minimizing human-induced pressures that degrade ecosystems that are
vulnerable to climate change must be strengthened in order to maintain the soundness and functionality of these ecosystems. 
</t>
        </r>
      </text>
    </comment>
    <comment ref="CV95"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In addition, Japan supports the UNCCD activities as the second largest contributor after the US.It also conducted a study on the utilization of technologies for combating desertification with a view to providing scientific and technical support for the UNCCD as well as projects for agricultural and rural development, forest conservation and afforestation, water conservation, etc. with Japan International Cooperation Agency (JICA) and other agencies.</t>
        </r>
      </text>
    </comment>
    <comment ref="DH95" authorId="1">
      <text>
        <r>
          <rPr>
            <b/>
            <sz val="9"/>
            <color indexed="81"/>
            <rFont val="Tahoma"/>
            <family val="2"/>
          </rPr>
          <t>billy.tsekos:</t>
        </r>
        <r>
          <rPr>
            <sz val="9"/>
            <color indexed="81"/>
            <rFont val="Tahoma"/>
            <family val="2"/>
          </rPr>
          <t xml:space="preserve">
</t>
        </r>
        <r>
          <rPr>
            <sz val="9"/>
            <color indexed="81"/>
            <rFont val="Times New Roman"/>
            <family val="1"/>
          </rPr>
          <t>The target for removals is set as approximately 37 million t-CO2 (corresponding to 2.6% reduction of total emissions in FY 2013 (corresponding to 2.6% reduction of total emissions in FY 2005)) (approximately 27.8 million t-CO2 by forest carbon sinks measures (corresponding to 2.0% of total emissions in FY 2013 (corresponding to 2.0% reduction of total emissions in FY 2005)), and approximately 9.1 million t-CO2 by cropland management, grazing land management and revegetation (corresponding to 0.6% reduction of total emissions in FY 2013 (corresponding to 0.7% reduction of total emissions in FY 2005))).</t>
        </r>
      </text>
    </comment>
    <comment ref="G96" authorId="2">
      <text>
        <r>
          <rPr>
            <b/>
            <sz val="9"/>
            <color indexed="81"/>
            <rFont val="Tahoma"/>
            <family val="2"/>
          </rPr>
          <t>Billy Tsekos:</t>
        </r>
        <r>
          <rPr>
            <sz val="9"/>
            <color indexed="81"/>
            <rFont val="Tahoma"/>
            <family val="2"/>
          </rPr>
          <t xml:space="preserve">
2015</t>
        </r>
      </text>
    </comment>
    <comment ref="Z96" authorId="2">
      <text>
        <r>
          <rPr>
            <b/>
            <sz val="9"/>
            <color indexed="81"/>
            <rFont val="Tahoma"/>
            <family val="2"/>
          </rPr>
          <t xml:space="preserve">Billy Tsekos:
NBSAP-P.31: </t>
        </r>
        <r>
          <rPr>
            <sz val="9"/>
            <color indexed="81"/>
            <rFont val="Tahoma"/>
            <family val="2"/>
          </rPr>
          <t xml:space="preserve">Jordan has limited forest resources, with less than 1.5% of the country being classified as forests. Of this forest land, only 26% have forest cover with a canopy density of 10% or more and the rest is mostly composed of land sparsely covered with vegetation. Afforestation activities can be implemented in areas receiving more than 250 mm/ year which constitute 8.3% of the total forestland.
</t>
        </r>
        <r>
          <rPr>
            <b/>
            <sz val="9"/>
            <color indexed="81"/>
            <rFont val="Tahoma"/>
            <family val="2"/>
          </rPr>
          <t xml:space="preserve">NR-P.17: </t>
        </r>
        <r>
          <rPr>
            <sz val="9"/>
            <color indexed="81"/>
            <rFont val="Tahoma"/>
            <family val="2"/>
          </rPr>
          <t xml:space="preserve"> map demonstrates the four bio-geographic regions of Jordan</t>
        </r>
      </text>
    </comment>
    <comment ref="BI96" authorId="2">
      <text>
        <r>
          <rPr>
            <b/>
            <sz val="9"/>
            <color indexed="81"/>
            <rFont val="Tahoma"/>
            <family val="2"/>
          </rPr>
          <t>Billy Tsekos:</t>
        </r>
        <r>
          <rPr>
            <sz val="9"/>
            <color indexed="81"/>
            <rFont val="Tahoma"/>
            <family val="2"/>
          </rPr>
          <t xml:space="preserve">
</t>
        </r>
        <r>
          <rPr>
            <b/>
            <sz val="9"/>
            <color indexed="81"/>
            <rFont val="Tahoma"/>
            <family val="2"/>
          </rPr>
          <t>NBSAP-P.65:</t>
        </r>
        <r>
          <rPr>
            <sz val="9"/>
            <color indexed="81"/>
            <rFont val="Tahoma"/>
            <family val="2"/>
          </rPr>
          <t xml:space="preserve"> By 2020, a national strategy for forest conservation and sustainable use is developed and effective</t>
        </r>
      </text>
    </comment>
    <comment ref="BP96" authorId="2">
      <text>
        <r>
          <rPr>
            <b/>
            <sz val="9"/>
            <color indexed="81"/>
            <rFont val="Tahoma"/>
            <family val="2"/>
          </rPr>
          <t>Billy Tsekos:</t>
        </r>
        <r>
          <rPr>
            <sz val="9"/>
            <color indexed="81"/>
            <rFont val="Tahoma"/>
            <family val="2"/>
          </rPr>
          <t xml:space="preserve">
</t>
        </r>
        <r>
          <rPr>
            <b/>
            <sz val="9"/>
            <color indexed="81"/>
            <rFont val="Tahoma"/>
            <family val="2"/>
          </rPr>
          <t>NBSAP-P.36:</t>
        </r>
        <r>
          <rPr>
            <sz val="9"/>
            <color indexed="81"/>
            <rFont val="Tahoma"/>
            <family val="2"/>
          </rPr>
          <t xml:space="preserve"> Enhance climate change resilience within terrestrial ecosystems and their services and enhance the resilience of coastal and marine ecosystems and associated vulnerable species;
•Support restoration of degraded forests, using diverse conservation areas governance forms, and building on the special conservation areas approach
</t>
        </r>
        <r>
          <rPr>
            <b/>
            <sz val="9"/>
            <color indexed="81"/>
            <rFont val="Tahoma"/>
            <family val="2"/>
          </rPr>
          <t xml:space="preserve">
• NR-P.40: </t>
        </r>
        <r>
          <rPr>
            <sz val="9"/>
            <color indexed="81"/>
            <rFont val="Tahoma"/>
            <family val="2"/>
          </rPr>
          <t>The National Environmental Compensation Program: the Badia Restoration Program</t>
        </r>
      </text>
    </comment>
    <comment ref="BX96" authorId="2">
      <text>
        <r>
          <rPr>
            <b/>
            <sz val="9"/>
            <color indexed="81"/>
            <rFont val="Tahoma"/>
            <family val="2"/>
          </rPr>
          <t>Billy Tsekos:</t>
        </r>
        <r>
          <rPr>
            <sz val="9"/>
            <color indexed="81"/>
            <rFont val="Tahoma"/>
            <family val="2"/>
          </rPr>
          <t xml:space="preserve">
</t>
        </r>
        <r>
          <rPr>
            <b/>
            <sz val="9"/>
            <color indexed="81"/>
            <rFont val="Tahoma"/>
            <family val="2"/>
          </rPr>
          <t>NBSAP-P.32:</t>
        </r>
        <r>
          <rPr>
            <sz val="9"/>
            <color indexed="81"/>
            <rFont val="Tahoma"/>
            <family val="2"/>
          </rPr>
          <t xml:space="preserve"> Uncontrolled urban expansion occurs in the form of deforestation, rangeland degradation, and transformation of forests into agricultural and urban areas, all due to the increase of Jordan’s population and industrial development accompanied with inadequate planning and management controls of land and sea. </t>
        </r>
      </text>
    </comment>
    <comment ref="CC96" authorId="2">
      <text>
        <r>
          <rPr>
            <b/>
            <sz val="9"/>
            <color indexed="81"/>
            <rFont val="Tahoma"/>
            <family val="2"/>
          </rPr>
          <t>Billy Tsekos:</t>
        </r>
        <r>
          <rPr>
            <sz val="9"/>
            <color indexed="81"/>
            <rFont val="Tahoma"/>
            <family val="2"/>
          </rPr>
          <t xml:space="preserve">
Achieving this positive outcome requires actions at multiple entry points, which are reflected in the  goals of this Strategic Plan. These include:
(a) Initiating action to address the underlying causes of biodiversity loss.
(b) Taking action now to decrease the direct pressures on biodiversity.
(c) Continuing direct action to safeguard and,where necessary, restore biodiversity and ecosystem services.
(d) Efforts to ensure the continued provision of ecosystem services and to ensure access to these services, especially for the poor.
(e) Enhanced support mechanisms for: capacitybuilding; the generation, use and sharing of knowledge; and access to the necessary financial and other resources. </t>
        </r>
      </text>
    </comment>
    <comment ref="CP96" authorId="2">
      <text>
        <r>
          <rPr>
            <b/>
            <sz val="9"/>
            <color indexed="81"/>
            <rFont val="Tahoma"/>
            <family val="2"/>
          </rPr>
          <t>Billy Tsekos:</t>
        </r>
        <r>
          <rPr>
            <sz val="9"/>
            <color indexed="81"/>
            <rFont val="Tahoma"/>
            <family val="2"/>
          </rPr>
          <t xml:space="preserve">
</t>
        </r>
        <r>
          <rPr>
            <b/>
            <sz val="9"/>
            <color indexed="81"/>
            <rFont val="Tahoma"/>
            <family val="2"/>
          </rPr>
          <t xml:space="preserve">NBSAP-P.36: </t>
        </r>
        <r>
          <rPr>
            <sz val="9"/>
            <color indexed="81"/>
            <rFont val="Tahoma"/>
            <family val="2"/>
          </rPr>
          <t>The national climate change policy represents a key milestone in the development of the national legislative frameworks related to climate change in general including the aspects related to biodiversity and ecosystems which are well-recognized in the policy document. The policy document includes specific national objectives: 
•Enhance climate change resilience within terrestrial ecosystems and their services and enhance the resilience of coastal and marine ecosystems and associated vulnerable species;</t>
        </r>
      </text>
    </comment>
    <comment ref="CQ96" authorId="2">
      <text>
        <r>
          <rPr>
            <b/>
            <sz val="9"/>
            <color indexed="81"/>
            <rFont val="Tahoma"/>
            <family val="2"/>
          </rPr>
          <t xml:space="preserve">Billy Tsekos:
</t>
        </r>
        <r>
          <rPr>
            <sz val="9"/>
            <color indexed="81"/>
            <rFont val="Tahoma"/>
            <family val="2"/>
          </rPr>
          <t xml:space="preserve">
</t>
        </r>
        <r>
          <rPr>
            <b/>
            <sz val="9"/>
            <color indexed="81"/>
            <rFont val="Tahoma"/>
            <family val="2"/>
          </rPr>
          <t>NBSAP-P.35:</t>
        </r>
        <r>
          <rPr>
            <sz val="9"/>
            <color indexed="81"/>
            <rFont val="Tahoma"/>
            <family val="2"/>
          </rPr>
          <t xml:space="preserve"> Jordan is vulnerable to climate change, and some features of projected climate change in Jordan include:
 (i) increase in temperature of 1-2 degrees centigrade by 2030-2050;
 (ii) increase in evaporation accompanied by soil moisture reduction;
(iii) diminished recharge of aquifers and oases,
(iv) projected shrinkage of grasslands (which extend over 10% of Jordan); and 
(v) projected shift of semi-arid rangeland (which extends over 80% of Jordan) to become arid desert. Improved and continued conservation planning and management in Jordan; based on an assessment of climate change implications on biodiversity is both prudent and necessary.
</t>
        </r>
        <r>
          <rPr>
            <b/>
            <sz val="9"/>
            <color indexed="81"/>
            <rFont val="Tahoma"/>
            <family val="2"/>
          </rPr>
          <t xml:space="preserve"> NBSAP-P.36: </t>
        </r>
        <r>
          <rPr>
            <sz val="9"/>
            <color indexed="81"/>
            <rFont val="Tahoma"/>
            <family val="2"/>
          </rPr>
          <t xml:space="preserve">Another important national initiative addressing the climate change impacts on biodiversity and related adaptation strategies has been implemented by RSCN since 2007 at the strategic level, including the development of the protected areas based scenario building, a national stakeholders communication platform, a protected areas centered climate change adaptation strategy and a set of pilot initiatives of climate change adaptation on the ecosystem and habitat levels. 
</t>
        </r>
        <r>
          <rPr>
            <b/>
            <sz val="9"/>
            <color indexed="81"/>
            <rFont val="Tahoma"/>
            <family val="2"/>
          </rPr>
          <t xml:space="preserve"> NBSAP-P.78:</t>
        </r>
        <r>
          <rPr>
            <sz val="9"/>
            <color indexed="81"/>
            <rFont val="Tahoma"/>
            <family val="2"/>
          </rPr>
          <t xml:space="preserve"> undertake vulnerability studies for key ecosystems (e.g. forests, rift valley).</t>
        </r>
      </text>
    </comment>
    <comment ref="CV96" authorId="2">
      <text>
        <r>
          <rPr>
            <b/>
            <sz val="9"/>
            <color indexed="81"/>
            <rFont val="Tahoma"/>
            <family val="2"/>
          </rPr>
          <t>Billy Tsekos:</t>
        </r>
        <r>
          <rPr>
            <sz val="9"/>
            <color indexed="81"/>
            <rFont val="Tahoma"/>
            <family val="2"/>
          </rPr>
          <t xml:space="preserve">
</t>
        </r>
        <r>
          <rPr>
            <b/>
            <sz val="9"/>
            <color indexed="81"/>
            <rFont val="Tahoma"/>
            <family val="2"/>
          </rPr>
          <t>NBSAP-P.42:</t>
        </r>
        <r>
          <rPr>
            <sz val="9"/>
            <color indexed="81"/>
            <rFont val="Tahoma"/>
            <family val="2"/>
          </rPr>
          <t xml:space="preserve">  Formulate a long-term comprehensive policy to combat desertification and integrate it in national sustainable development policies.</t>
        </r>
      </text>
    </comment>
    <comment ref="BA98" authorId="0">
      <text>
        <r>
          <rPr>
            <sz val="9"/>
            <color indexed="81"/>
            <rFont val="Tahoma"/>
            <family val="2"/>
          </rPr>
          <t xml:space="preserve">(pg. 119) Increase the forest cover to 10 % by 2020
by 2020 20% of degraded and fragmented habitats
are restored/rehabilitated By 2020 the rate of
loss of natural forest is brought close to zero
Increase % of protected Area </t>
        </r>
      </text>
    </comment>
    <comment ref="BI98" authorId="0">
      <text>
        <r>
          <rPr>
            <sz val="9"/>
            <color indexed="81"/>
            <rFont val="Tahoma"/>
            <family val="2"/>
          </rPr>
          <t>(pg. 126) By 2020 at least 5 % of degraded ecosystems are restored /rehabilitated to increase their resilience By 2020 the country will have increased the tree cover to 10% NCCRS and Action plan by 2017</t>
        </r>
      </text>
    </comment>
    <comment ref="EH98" authorId="0">
      <text>
        <r>
          <rPr>
            <sz val="9"/>
            <color indexed="81"/>
            <rFont val="Tahoma"/>
            <family val="2"/>
          </rPr>
          <t>Bonn challenge
Commitment = 8 million hectares 
Carbon sequestered = 0.75 GtCO2
Economic benefit = 2,512 million USD</t>
        </r>
      </text>
    </comment>
    <comment ref="ER99" authorId="0">
      <text>
        <r>
          <rPr>
            <sz val="9"/>
            <color indexed="81"/>
            <rFont val="Tahoma"/>
            <family val="2"/>
          </rPr>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r>
      </text>
    </comment>
    <comment ref="BA101" authorId="0">
      <text>
        <r>
          <rPr>
            <sz val="9"/>
            <color indexed="81"/>
            <rFont val="Tahoma"/>
            <family val="2"/>
          </rPr>
          <t xml:space="preserve">2.1. Save and restore the most vulnerable ecosystems and genetic resources, significantly reduce the rate of species loss, degradation and fragmentation of their habitats </t>
        </r>
      </text>
    </comment>
    <comment ref="ER101" authorId="0">
      <text>
        <r>
          <rPr>
            <sz val="9"/>
            <color indexed="81"/>
            <rFont val="Tahoma"/>
            <family val="2"/>
          </rPr>
          <t>NI</t>
        </r>
      </text>
    </comment>
    <comment ref="ET101" authorId="0">
      <text>
        <r>
          <rPr>
            <sz val="9"/>
            <color indexed="81"/>
            <rFont val="Tahoma"/>
            <family val="2"/>
          </rPr>
          <t>NBSAP - p.52 - Ecosystem resilience and the contribution of biodiversity to carbon stock have been enhanced, through conservation and restoration, including restoration of at least 15% of degraded ecosystems</t>
        </r>
      </text>
    </comment>
    <comment ref="Z102"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imes New Roman"/>
            <family val="1"/>
          </rPr>
          <t xml:space="preserve">According to a recent national survey carried out in 2010, forests in the Lao PDR cover approximately 9.55 million hectares or, 40.3% of the total land area of the country
</t>
        </r>
        <r>
          <rPr>
            <b/>
            <sz val="9"/>
            <color indexed="81"/>
            <rFont val="Times New Roman"/>
            <family val="1"/>
          </rPr>
          <t xml:space="preserve">NR-P.9: </t>
        </r>
        <r>
          <rPr>
            <sz val="9"/>
            <color indexed="81"/>
            <rFont val="Times New Roman"/>
            <family val="1"/>
          </rPr>
          <t>Areas of forest cover in the Lao PDR have changed over time. As shown in Figure 2 (the percentage of forest areas by region from 2002 to 2015), the forest areas in the northern part of country have increased by about 0.75% per year, whereas the forest areas in central and southern part have decreased consequently about 0.43% and 1.16% per year. Overall, the forest areas in each region (southern, central and northern) in 2010 are less than 50%.</t>
        </r>
      </text>
    </comment>
    <comment ref="AH102"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In the Lao PDR, national forest cover assessment has been conducted six times, in 1940, 1982,
1995, 2002, 2010 and 2015 (Figure 3: forest covers change in Lao PDR). The forest has decreased from 17 million hectares, or 71.8% of the total land area in 1940, to 11.6 million hectares, or 49% of the total land area in 1982, to 9.8 million hectares, or 41.4% of the total land area in 2002, to 9.55 million hectares, or 40.33% of the total land area, in 2010.
However, further studies conducted by MAF and Japan’s Programme Grant Aid for Environment and Climate Change FPP-TA6 indicate that the proportion of forest cover in 2015 was 46.7% (see Figure 3). The study shows that there has been a 6.5% increase in forest cover between 2010 and 2015, which equals to 1.29% annual increase. According to this study, the forest cover increase has been rapid in all regions: Southern Lao = 1.7% / year; Central Lao = 1.2% / year; and Northern Lao = 1.2% / year. The current trend of decreasing potential forest category and increasing current forest cover would indicate significant regeneration of fallows to forest. This trend was completely opposite between 2002 and 2010 in South and Central regions, where forest cover actually declined and potential forests increased.
</t>
        </r>
      </text>
    </comment>
    <comment ref="BA102" authorId="1">
      <text>
        <r>
          <rPr>
            <b/>
            <sz val="9"/>
            <color indexed="81"/>
            <rFont val="Tahoma"/>
            <family val="2"/>
          </rPr>
          <t>billy.tsekos:</t>
        </r>
        <r>
          <rPr>
            <sz val="9"/>
            <color indexed="81"/>
            <rFont val="Tahoma"/>
            <family val="2"/>
          </rPr>
          <t xml:space="preserve">
</t>
        </r>
        <r>
          <rPr>
            <b/>
            <sz val="9"/>
            <color indexed="81"/>
            <rFont val="Tahoma"/>
            <family val="2"/>
          </rPr>
          <t>NR- P.28:</t>
        </r>
        <r>
          <rPr>
            <sz val="9"/>
            <color indexed="81"/>
            <rFont val="Tahoma"/>
            <family val="2"/>
          </rPr>
          <t xml:space="preserve"> Conserve threatened and endangered species by enabling the species to survive in their natural habitats 
</t>
        </r>
        <r>
          <rPr>
            <b/>
            <sz val="9"/>
            <color indexed="81"/>
            <rFont val="Tahoma"/>
            <family val="2"/>
          </rPr>
          <t xml:space="preserve">NR- P.41: Actions: </t>
        </r>
        <r>
          <rPr>
            <sz val="9"/>
            <color indexed="81"/>
            <rFont val="Tahoma"/>
            <family val="2"/>
          </rPr>
          <t xml:space="preserve">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r>
      </text>
    </comment>
    <comment ref="BI102" authorId="1">
      <text>
        <r>
          <rPr>
            <sz val="9"/>
            <color indexed="81"/>
            <rFont val="Tahoma"/>
            <family val="2"/>
          </rPr>
          <t xml:space="preserve">billy.tsekos:
</t>
        </r>
        <r>
          <rPr>
            <b/>
            <sz val="9"/>
            <color indexed="81"/>
            <rFont val="Tahoma"/>
            <family val="2"/>
          </rPr>
          <t>NR- P.46 Action</t>
        </r>
        <r>
          <rPr>
            <sz val="9"/>
            <color indexed="81"/>
            <rFont val="Tahoma"/>
            <family val="2"/>
          </rPr>
          <t xml:space="preserve">
 Efforts are in place to restore forest lands and forest regeneration is listed as one of the main REDD+ activities to be implemented as part of the Carbon Fund Emission Reduction Programme
</t>
        </r>
        <r>
          <rPr>
            <b/>
            <sz val="9"/>
            <color indexed="81"/>
            <rFont val="Tahoma"/>
            <family val="2"/>
          </rPr>
          <t xml:space="preserve">NR- P.89: </t>
        </r>
        <r>
          <rPr>
            <sz val="9"/>
            <color indexed="81"/>
            <rFont val="Tahoma"/>
            <family val="2"/>
          </rPr>
          <t>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r>
      </text>
    </comment>
    <comment ref="BT102" authorId="1">
      <text>
        <r>
          <rPr>
            <b/>
            <sz val="9"/>
            <color indexed="81"/>
            <rFont val="Tahoma"/>
            <family val="2"/>
          </rPr>
          <t>billy.tsekos:</t>
        </r>
        <r>
          <rPr>
            <sz val="9"/>
            <color indexed="81"/>
            <rFont val="Tahoma"/>
            <family val="2"/>
          </rPr>
          <t xml:space="preserve">
</t>
        </r>
        <r>
          <rPr>
            <b/>
            <sz val="9"/>
            <color indexed="81"/>
            <rFont val="Tahoma"/>
            <family val="2"/>
          </rPr>
          <t xml:space="preserve">NR- P.18: </t>
        </r>
        <r>
          <rPr>
            <sz val="9"/>
            <color indexed="81"/>
            <rFont val="Tahoma"/>
            <family val="2"/>
          </rPr>
          <t>The Government of Lao PDR has introduced a number of policy instruments and incentives to boost forest cover by promoting the development of forest plantations throughout the country. For example, one of the main forest policies is to restore forest cover to 70% by the year 2020(MAF, 2005). As a result, the area of plantations, especially rubber plantations, has increased significantly from just less than 1,000 ha in 1990 to over 200,000 ha in 2007. However, tree plantations are likely to be a small part (perhaps 500,000 hectares) of the overall forest restoration plan of 7 million hectares. Most of these plantations are expected to provide social and environmental benefits to local communities and their economies (Phimmavong, et al., 2009). It is believed that the establishment of plantations on degraded forest and agricultural land generates a negative impact, not only for local communities and their livelihoods, but also for wildlife species.</t>
        </r>
      </text>
    </comment>
    <comment ref="BX102"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The indisputable environmental issues related to declining forest cover are generally local and caused by factors beyond the traditional realm of forestry; i.e. commercial logging household utilization of wood for construction and energy. In many studies the main factor behind deforestation have been found to be particular, shifting cultivation. Overall, the loss of forest area has resulted in a loss of biodiversity and ecosystem services and reduced the extent to which local people can rely on wild food nutritional needs. 
The loss of forest, moreover, can be attributed to the countries status regarding greenhouse gas emission, where it was previously recorded as a net sink of CO2 in 1990 and then a net producer of CO2 in 2000 (MoNRE, 2013). Nevertheless, to address deforestation, the government is promoting community participation, Payment for Ecosystems Services (PES) and sustainable forest management, and has applied Forest Stewardship Council standards (FSC) to all production forest areas (MoNRE, 2012).
The demand for wood products within and outside the Lao PDR is increasing rapidly. Wood products provided by the forestry sector include lumber, furniture, doors, parquet flooring, and posts. Most houses in urban areas are now built with bricks and a large proportion of production serves to meet increasing demands associated with construction. The increase is resulting in a heightened demand for doors, flooring, furniture, and other household items (FAO, 2002). In 2001, log production contributed 3.2% of the national GDP; this share would have been higher if subsistence use and processing of wood and NTFPs were included. In terms of energy consumption, charcoal and fuel wood are the dominant sources of energy for cooking, and also for providing heating during the cold weather months in highland areas (MoNRE, 2013). 
</t>
        </r>
        <r>
          <rPr>
            <b/>
            <sz val="9"/>
            <color indexed="81"/>
            <rFont val="Tahoma"/>
            <family val="2"/>
          </rPr>
          <t xml:space="preserve">NR- P.18: </t>
        </r>
        <r>
          <rPr>
            <sz val="9"/>
            <color indexed="81"/>
            <rFont val="Tahoma"/>
            <family val="2"/>
          </rPr>
          <t xml:space="preserve">As demands on agricultural products increase more and more, land is brought under cultivation for which forests are cleared and grass-lands ploughed. Chemical products are increasingly used and during the process of clearing the land, wood is simply burned.
Between 2002 and 2009, the rate of forest land conversion attributed to agricultural expansion increased, for both large concession areas and small investments. Recently, the rapid emergence of concession-based commercial contract farming has been identified as one of the key  drivers to deforestation. The main commodities of interest in the Lao PDR include maize, coffee, soybeans and cassava (MoNRE, 2012). </t>
        </r>
        <r>
          <rPr>
            <b/>
            <sz val="9"/>
            <color indexed="81"/>
            <rFont val="Tahoma"/>
            <family val="2"/>
          </rPr>
          <t>A study of Moore et al. (2011) found that the transition to commercial agriculture, such as maize and Job’s tears (Coix lacryma-jobi) has had noticeable effect on land-use, with an increase in monoculture.</t>
        </r>
        <r>
          <rPr>
            <sz val="9"/>
            <color indexed="81"/>
            <rFont val="Tahoma"/>
            <family val="2"/>
          </rPr>
          <t xml:space="preserve">  The same study also found that cash crops, in particular maize, are more demanding on the soil's nutrients and cause greater soil erosion than upland rice.</t>
        </r>
      </text>
    </comment>
    <comment ref="CC102" authorId="1">
      <text>
        <r>
          <rPr>
            <b/>
            <sz val="9"/>
            <color indexed="81"/>
            <rFont val="Tahoma"/>
            <family val="2"/>
          </rPr>
          <t>billy.tsekos:</t>
        </r>
        <r>
          <rPr>
            <sz val="9"/>
            <color indexed="81"/>
            <rFont val="Tahoma"/>
            <family val="2"/>
          </rPr>
          <t xml:space="preserve">
</t>
        </r>
        <r>
          <rPr>
            <b/>
            <sz val="9"/>
            <color indexed="81"/>
            <rFont val="Tahoma"/>
            <family val="2"/>
          </rPr>
          <t xml:space="preserve">NR-P.iii: </t>
        </r>
        <r>
          <rPr>
            <sz val="9"/>
            <color indexed="81"/>
            <rFont val="Tahoma"/>
            <family val="2"/>
          </rPr>
          <t xml:space="preserve">Efforts to address deforestation and environmental degradation have focussed on protecting forests for sustainable ecosystem services, smallholder forestry projects, and participatory sustainable forest management. Community livelihoods are closely linked to forests and the participation of forest-dependent communities is consequently crucial for successful forest management. 
</t>
        </r>
        <r>
          <rPr>
            <b/>
            <sz val="9"/>
            <color indexed="81"/>
            <rFont val="Tahoma"/>
            <family val="2"/>
          </rPr>
          <t>NR-P.11:</t>
        </r>
        <r>
          <rPr>
            <sz val="9"/>
            <color indexed="81"/>
            <rFont val="Tahoma"/>
            <family val="2"/>
          </rPr>
          <t xml:space="preserve">to address deforestation, the government is promoting community participation, Payment for Ecosystems Services (PES) and sustainable forest management, and has applied Forest Stewardship Council standards (FSC) to all production forest areas (MoNRE, 2012). </t>
        </r>
      </text>
    </comment>
    <comment ref="CP102" authorId="1">
      <text>
        <r>
          <rPr>
            <b/>
            <sz val="9"/>
            <color indexed="81"/>
            <rFont val="Tahoma"/>
            <family val="2"/>
          </rPr>
          <t>billy.tsekos:</t>
        </r>
        <r>
          <rPr>
            <sz val="9"/>
            <color indexed="81"/>
            <rFont val="Tahoma"/>
            <family val="2"/>
          </rPr>
          <t xml:space="preserve">
NR-P.22: According to the USAID Mekong Adaptation and Resilience to Climate Change (USAID Mekong ARCC) project, the Lao PDR will likely experience pronounced changes in rainfall and temperature patterns by 2050 with significant ramifications for ecosystems, and the communities and the livelihoods that support them. USAID Mekong ARCC also states that large rainfall events (e.g. greater than 100 mm/day) will occur more frequently and daily maximum temperatures will rise by roughly 2°C to 3°C in the Lao PDR, with higher increases to the south</t>
        </r>
      </text>
    </comment>
    <comment ref="CQ102" authorId="1">
      <text>
        <r>
          <rPr>
            <b/>
            <sz val="9"/>
            <color indexed="81"/>
            <rFont val="Tahoma"/>
            <family val="2"/>
          </rPr>
          <t>billy.tsekos:</t>
        </r>
        <r>
          <rPr>
            <sz val="9"/>
            <color indexed="81"/>
            <rFont val="Tahoma"/>
            <family val="2"/>
          </rPr>
          <t xml:space="preserve">
</t>
        </r>
        <r>
          <rPr>
            <b/>
            <sz val="9"/>
            <color indexed="81"/>
            <rFont val="Tahoma"/>
            <family val="2"/>
          </rPr>
          <t>NR-P.22:</t>
        </r>
        <r>
          <rPr>
            <sz val="9"/>
            <color indexed="81"/>
            <rFont val="Tahoma"/>
            <family val="2"/>
          </rPr>
          <t xml:space="preserve"> According to the USAID Mekong Adaptation and Resilience to Climate Change (USAID Mekong ARCC) project, the Lao PDR will likely experience pronounced changes in rainfall and temperature patterns by 2050 with significant ramifications for ecosystems, and the communities and the livelihoods that support them. USAID Mekong ARCC also states that large rainfall events (e.g. greater than 100 mm/day) will occur more frequently and daily maximum temperatures will rise by roughly 2°C to 3°C in the Lao PDR, with higher increases to the south</t>
        </r>
      </text>
    </comment>
    <comment ref="CW102" authorId="1">
      <text>
        <r>
          <rPr>
            <b/>
            <sz val="9"/>
            <color indexed="81"/>
            <rFont val="Tahoma"/>
            <family val="2"/>
          </rPr>
          <t>billy.tsekos:</t>
        </r>
        <r>
          <rPr>
            <sz val="9"/>
            <color indexed="81"/>
            <rFont val="Tahoma"/>
            <family val="2"/>
          </rPr>
          <t xml:space="preserve">
</t>
        </r>
        <r>
          <rPr>
            <b/>
            <sz val="9"/>
            <color indexed="81"/>
            <rFont val="Tahoma"/>
            <family val="2"/>
          </rPr>
          <t>NR-P.12:</t>
        </r>
        <r>
          <rPr>
            <sz val="9"/>
            <color indexed="81"/>
            <rFont val="Tahoma"/>
            <family val="2"/>
          </rPr>
          <t xml:space="preserve"> Additionally, another 0.9 million hectares have been designated as Protection or Conservation forests at the provincial and district levels, bringing the total land area which is under some kind of protection to more than 18% of the total area of the country.</t>
        </r>
      </text>
    </comment>
    <comment ref="DF102" authorId="1">
      <text>
        <r>
          <rPr>
            <b/>
            <sz val="9"/>
            <color indexed="81"/>
            <rFont val="Tahoma"/>
            <family val="2"/>
          </rPr>
          <t>billy.tsekos:</t>
        </r>
        <r>
          <rPr>
            <sz val="9"/>
            <color indexed="81"/>
            <rFont val="Tahoma"/>
            <family val="2"/>
          </rPr>
          <t xml:space="preserve">
An ambitious target is set out in the National Forestry Strategy to the Year 2020 for increasing forest cover to a total of 70% of land area by 2020, and maintaining it at that level going forward. This will reduce the risk of floods and prevent land degradation, yet at the same time the greenhouse gas mitigation potential of such a target is substantial and long lasting.
</t>
        </r>
      </text>
    </comment>
    <comment ref="DK102" authorId="1">
      <text>
        <r>
          <rPr>
            <b/>
            <sz val="9"/>
            <color indexed="81"/>
            <rFont val="Tahoma"/>
            <family val="2"/>
          </rPr>
          <t>billy.tsekos:</t>
        </r>
        <r>
          <rPr>
            <sz val="9"/>
            <color indexed="81"/>
            <rFont val="Tahoma"/>
            <family val="2"/>
          </rPr>
          <t xml:space="preserve">
In addition to the overarching strategy set out in the NCCS, climate change action plans for the period 2013-2020 define mitigation and adaptation actions in the sectors of agriculture, forestry, land use change, water resources, energy, transportation, industry and public health</t>
        </r>
      </text>
    </comment>
    <comment ref="DL102" authorId="1">
      <text>
        <r>
          <rPr>
            <b/>
            <sz val="9"/>
            <color indexed="81"/>
            <rFont val="Tahoma"/>
            <family val="2"/>
          </rPr>
          <t>billy.tsekos:</t>
        </r>
        <r>
          <rPr>
            <sz val="9"/>
            <color indexed="81"/>
            <rFont val="Tahoma"/>
            <family val="2"/>
          </rPr>
          <t xml:space="preserve">
The National Adaptation Programme of Action (2009) maps out a country-driven programme to address immediate and projected climate change adaptation requirementsin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 Promote Climate Resilience in Forestry Production and Forest Ecosystems
- Promote Technical Capacity in the Forestry Sector for Managing Forests for
Climate Change Adaptation
- </t>
        </r>
      </text>
    </comment>
    <comment ref="DN102" authorId="1">
      <text>
        <r>
          <rPr>
            <b/>
            <sz val="9"/>
            <color indexed="81"/>
            <rFont val="Tahoma"/>
            <family val="2"/>
          </rPr>
          <t>billy.tsekos:</t>
        </r>
        <r>
          <rPr>
            <sz val="9"/>
            <color indexed="81"/>
            <rFont val="Tahoma"/>
            <family val="2"/>
          </rPr>
          <t xml:space="preserve">
Agriculture, forestry and other land use (AFOLU) represents 20-24% of the global Greenhouse Gas (GHG) emissions. </t>
        </r>
      </text>
    </comment>
    <comment ref="ET102" authorId="0">
      <text>
        <r>
          <rPr>
            <sz val="9"/>
            <color indexed="81"/>
            <rFont val="Tahoma"/>
            <family val="2"/>
          </rPr>
          <t>(P. 139) Target 7.1. Maintain and enhance resilience
of the components of biodiversity to adapt
to climate change.
Target 7.2. Reduce pollution and its impacts
on biodiversity</t>
        </r>
      </text>
    </comment>
    <comment ref="G104" authorId="2">
      <text>
        <r>
          <rPr>
            <b/>
            <sz val="9"/>
            <color indexed="81"/>
            <rFont val="Tahoma"/>
            <family val="2"/>
          </rPr>
          <t>Billy Tsekos:</t>
        </r>
        <r>
          <rPr>
            <sz val="9"/>
            <color indexed="81"/>
            <rFont val="Tahoma"/>
            <family val="2"/>
          </rPr>
          <t xml:space="preserve">
2016
</t>
        </r>
      </text>
    </comment>
    <comment ref="Z104" authorId="2">
      <text>
        <r>
          <rPr>
            <b/>
            <sz val="9"/>
            <color indexed="81"/>
            <rFont val="Tahoma"/>
            <family val="2"/>
          </rPr>
          <t>Billy Tsekos:</t>
        </r>
        <r>
          <rPr>
            <sz val="9"/>
            <color indexed="81"/>
            <rFont val="Tahoma"/>
            <family val="2"/>
          </rPr>
          <t xml:space="preserve">
</t>
        </r>
        <r>
          <rPr>
            <b/>
            <sz val="9"/>
            <color indexed="81"/>
            <rFont val="Tahoma"/>
            <family val="2"/>
          </rPr>
          <t>NR-P.16:</t>
        </r>
        <r>
          <rPr>
            <sz val="9"/>
            <color indexed="81"/>
            <rFont val="Tahoma"/>
            <family val="2"/>
          </rPr>
          <t xml:space="preserve"> Lebanon is known for its forests which occupy 13% of the territory while Other Wooded Land (OWL) cover 10% (FAO, 2010). About 65% of the total canopy coverage is considered dense (LULC, 1998).
</t>
        </r>
        <r>
          <rPr>
            <b/>
            <sz val="9"/>
            <color indexed="81"/>
            <rFont val="Tahoma"/>
            <family val="2"/>
          </rPr>
          <t xml:space="preserve">NR-P.50: </t>
        </r>
        <r>
          <rPr>
            <sz val="9"/>
            <color indexed="81"/>
            <rFont val="Tahoma"/>
            <family val="2"/>
          </rPr>
          <t xml:space="preserve">About 26.5% of Lebanon’s lands are cultivated of which 50% are irrigated. </t>
        </r>
      </text>
    </comment>
    <comment ref="AH104" authorId="2">
      <text>
        <r>
          <rPr>
            <b/>
            <sz val="9"/>
            <color indexed="81"/>
            <rFont val="Tahoma"/>
            <family val="2"/>
          </rPr>
          <t>Billy Tsekos:</t>
        </r>
        <r>
          <rPr>
            <sz val="9"/>
            <color indexed="81"/>
            <rFont val="Tahoma"/>
            <family val="2"/>
          </rPr>
          <t xml:space="preserve">
</t>
        </r>
        <r>
          <rPr>
            <b/>
            <sz val="9"/>
            <color indexed="81"/>
            <rFont val="Tahoma"/>
            <family val="2"/>
          </rPr>
          <t xml:space="preserve">NBSAP-P.22: </t>
        </r>
        <r>
          <rPr>
            <sz val="9"/>
            <color indexed="81"/>
            <rFont val="Tahoma"/>
            <family val="2"/>
          </rPr>
          <t>A main cause for habitat loss and fragmentation is deforestation which is estimated to occur at a rate of 0.4% per year (MoE, 2012) and is largely attributed to lack of awareness and law enforcement, poverty (cutting trees for fuelwood during winter season due to high fuel prices), and lack of forest law</t>
        </r>
      </text>
    </comment>
    <comment ref="AO104" authorId="2">
      <text>
        <r>
          <rPr>
            <b/>
            <sz val="9"/>
            <color indexed="81"/>
            <rFont val="Tahoma"/>
            <family val="2"/>
          </rPr>
          <t>Billy Tsekos:</t>
        </r>
        <r>
          <rPr>
            <sz val="9"/>
            <color indexed="81"/>
            <rFont val="Tahoma"/>
            <family val="2"/>
          </rPr>
          <t xml:space="preserve">
</t>
        </r>
        <r>
          <rPr>
            <b/>
            <sz val="9"/>
            <color indexed="81"/>
            <rFont val="Tahoma"/>
            <family val="2"/>
          </rPr>
          <t>NBSAP-P.22: I</t>
        </r>
        <r>
          <rPr>
            <sz val="9"/>
            <color indexed="81"/>
            <rFont val="Tahoma"/>
            <family val="2"/>
          </rPr>
          <t xml:space="preserve">n Lebanon, pine forest ecosystems are mostly affected by forest fires (natural or manmade). The stone pine (Pinus pinea) is mainly threatened by urban development and forest fires. Forest fires that occurred during the period 2007-2008, have resulted in the loss of 4,200 ha of Lebanon’s vegetation cover. According to AFDC, during one day in October 2007, the total burned area was equivalent to three times the area afforested during a period of 17 years. These fires were the main reason behind forest fragmentation and loss of related ecosystem services
</t>
        </r>
        <r>
          <rPr>
            <b/>
            <sz val="9"/>
            <color indexed="81"/>
            <rFont val="Tahoma"/>
            <family val="2"/>
          </rPr>
          <t>NR-P.29:</t>
        </r>
        <r>
          <rPr>
            <sz val="9"/>
            <color indexed="81"/>
            <rFont val="Tahoma"/>
            <family val="2"/>
          </rPr>
          <t xml:space="preserve"> Forests in Lebanon have long been subject to intense human intervention and exploitation and suffered mostly due to urbanization, agriculture, overharvesting, and to damages deriving from overgrazing and fires. As a result, during the last fifty years, substantial part of these forests was lost. The optimistic estimates refer to a loss equivalent to 35% of the forest cover or 7% of the country
land area (Europe Aid, 2014</t>
        </r>
      </text>
    </comment>
    <comment ref="AV104" authorId="2">
      <text>
        <r>
          <rPr>
            <b/>
            <sz val="9"/>
            <color indexed="81"/>
            <rFont val="Tahoma"/>
            <family val="2"/>
          </rPr>
          <t>Billy Tsekos:
NBSAP-P.22:</t>
        </r>
        <r>
          <rPr>
            <sz val="9"/>
            <color indexed="81"/>
            <rFont val="Tahoma"/>
            <family val="2"/>
          </rPr>
          <t xml:space="preserve"> A main cause for habitat loss and fragmentation is deforestation which is estimated to occur at a rate of 0.4% per year (MoE, 2012) and is largely attributed to lack of awareness and law enforcement, poverty (cutting trees for fuelwood during winter season due to high fuel prices), and lack of forest law</t>
        </r>
      </text>
    </comment>
    <comment ref="BA104" authorId="2">
      <text>
        <r>
          <rPr>
            <b/>
            <sz val="9"/>
            <color indexed="81"/>
            <rFont val="Tahoma"/>
            <family val="2"/>
          </rPr>
          <t>Billy Tsekos:</t>
        </r>
        <r>
          <rPr>
            <sz val="9"/>
            <color indexed="81"/>
            <rFont val="Tahoma"/>
            <family val="2"/>
          </rPr>
          <t xml:space="preserve">
By 2030, 50% of all natural ecosystems are sustainably managed and properly considered in land-use planning implementation</t>
        </r>
      </text>
    </comment>
    <comment ref="BD104" authorId="2">
      <text>
        <r>
          <rPr>
            <b/>
            <sz val="9"/>
            <color indexed="81"/>
            <rFont val="Tahoma"/>
            <family val="2"/>
          </rPr>
          <t>Billy Tsekos:</t>
        </r>
        <r>
          <rPr>
            <sz val="9"/>
            <color indexed="81"/>
            <rFont val="Tahoma"/>
            <family val="2"/>
          </rPr>
          <t xml:space="preserve">
2030</t>
        </r>
      </text>
    </comment>
    <comment ref="BH104" authorId="2">
      <text>
        <r>
          <rPr>
            <b/>
            <sz val="9"/>
            <color indexed="81"/>
            <rFont val="Tahoma"/>
            <family val="2"/>
          </rPr>
          <t>Billy Tsekos:</t>
        </r>
        <r>
          <rPr>
            <sz val="9"/>
            <color indexed="81"/>
            <rFont val="Tahoma"/>
            <family val="2"/>
          </rPr>
          <t xml:space="preserve">
NBSAP-P.22: fires were the main reason behind forest fragmentation and loss of related ecosystem services</t>
        </r>
      </text>
    </comment>
    <comment ref="BI104" authorId="2">
      <text>
        <r>
          <rPr>
            <b/>
            <sz val="9"/>
            <color indexed="81"/>
            <rFont val="Tahoma"/>
            <family val="2"/>
          </rPr>
          <t>Billy Tsekos:</t>
        </r>
        <r>
          <rPr>
            <sz val="9"/>
            <color indexed="81"/>
            <rFont val="Tahoma"/>
            <family val="2"/>
          </rPr>
          <t xml:space="preserve">
By 2030, rehabilitation plans are implemented in at least 20% of degraded sites that will safeguard the sustained delivery of ecosystem services. </t>
        </r>
      </text>
    </comment>
    <comment ref="BP104" authorId="2">
      <text>
        <r>
          <rPr>
            <b/>
            <sz val="9"/>
            <color indexed="81"/>
            <rFont val="Tahoma"/>
            <family val="2"/>
          </rPr>
          <t>Billy Tsekos:</t>
        </r>
        <r>
          <rPr>
            <sz val="9"/>
            <color indexed="81"/>
            <rFont val="Tahoma"/>
            <family val="2"/>
          </rPr>
          <t xml:space="preserve">
</t>
        </r>
        <r>
          <rPr>
            <b/>
            <sz val="9"/>
            <color indexed="81"/>
            <rFont val="Tahoma"/>
            <family val="2"/>
          </rPr>
          <t>NR-P.89:</t>
        </r>
        <r>
          <rPr>
            <sz val="9"/>
            <color indexed="81"/>
            <rFont val="Tahoma"/>
            <family val="2"/>
          </rPr>
          <t xml:space="preserve"> In efforts to reduce natural habitats loss, Lebanon is more and more considering the forest sector as a national asset and reforestation initiatives are being implemented; the main four being the “National Reforestation Plan of the MoE”, “Safeguarding and Restoring Lebanon’s Woodland Resources”, “The 40 Million Trees Program”, and the “Lebanon Reforestation Initiative”. Moreover, a draft law on forest fires has also been prepared and submitted to the COM for approval and endorsement.</t>
        </r>
      </text>
    </comment>
    <comment ref="BT104" authorId="2">
      <text>
        <r>
          <rPr>
            <b/>
            <sz val="9"/>
            <color indexed="81"/>
            <rFont val="Tahoma"/>
            <family val="2"/>
          </rPr>
          <t>Billy Tsekos:</t>
        </r>
        <r>
          <rPr>
            <sz val="9"/>
            <color indexed="81"/>
            <rFont val="Tahoma"/>
            <family val="2"/>
          </rPr>
          <t xml:space="preserve">
20% of degraded sites </t>
        </r>
      </text>
    </comment>
    <comment ref="BX104" authorId="2">
      <text>
        <r>
          <rPr>
            <b/>
            <sz val="9"/>
            <color indexed="81"/>
            <rFont val="Tahoma"/>
            <family val="2"/>
          </rPr>
          <t>Billy Tsekos:</t>
        </r>
        <r>
          <rPr>
            <sz val="9"/>
            <color indexed="81"/>
            <rFont val="Tahoma"/>
            <family val="2"/>
          </rPr>
          <t xml:space="preserve">
</t>
        </r>
        <r>
          <rPr>
            <b/>
            <sz val="9"/>
            <color indexed="81"/>
            <rFont val="Tahoma"/>
            <family val="2"/>
          </rPr>
          <t>NBSAP-P.21:</t>
        </r>
        <r>
          <rPr>
            <sz val="9"/>
            <color indexed="81"/>
            <rFont val="Tahoma"/>
            <family val="2"/>
          </rPr>
          <t xml:space="preserve"> In Lebanon, chaotic and anarchical urbanization is the main cause for the loss, fragmentation and destruction of terrestrial ecosystems and their habitats.
</t>
        </r>
        <r>
          <rPr>
            <b/>
            <sz val="9"/>
            <color indexed="81"/>
            <rFont val="Tahoma"/>
            <family val="2"/>
          </rPr>
          <t>NR-P.34:</t>
        </r>
        <r>
          <rPr>
            <sz val="9"/>
            <color indexed="81"/>
            <rFont val="Tahoma"/>
            <family val="2"/>
          </rPr>
          <t xml:space="preserve"> The main identified threats are:
* Habitat loss, fragmentation and destruction
* Unsustainable exploitation of natural resources
* Pollution
* Invasive species
* Introduction of new improved varieties (agro-biodiversity)
* Climate change
* Lack of data</t>
        </r>
      </text>
    </comment>
    <comment ref="CC104" authorId="2">
      <text>
        <r>
          <rPr>
            <b/>
            <sz val="9"/>
            <color indexed="81"/>
            <rFont val="Tahoma"/>
            <family val="2"/>
          </rPr>
          <t>Billy Tsekos:</t>
        </r>
        <r>
          <rPr>
            <sz val="9"/>
            <color indexed="81"/>
            <rFont val="Tahoma"/>
            <family val="2"/>
          </rPr>
          <t xml:space="preserve">
</t>
        </r>
      </text>
    </comment>
    <comment ref="CK104" authorId="2">
      <text>
        <r>
          <rPr>
            <b/>
            <sz val="9"/>
            <color indexed="81"/>
            <rFont val="Tahoma"/>
            <family val="2"/>
          </rPr>
          <t>Billy Tsekos:</t>
        </r>
        <r>
          <rPr>
            <sz val="9"/>
            <color indexed="81"/>
            <rFont val="Tahoma"/>
            <family val="2"/>
          </rPr>
          <t xml:space="preserve">
</t>
        </r>
        <r>
          <rPr>
            <b/>
            <sz val="9"/>
            <color indexed="81"/>
            <rFont val="Tahoma"/>
            <family val="2"/>
          </rPr>
          <t>NR-P.41: L</t>
        </r>
        <r>
          <rPr>
            <sz val="9"/>
            <color indexed="81"/>
            <rFont val="Tahoma"/>
            <family val="2"/>
          </rPr>
          <t>ebanon’s Green House Gas (GHG) Emissions Summary for the Year 2000</t>
        </r>
      </text>
    </comment>
    <comment ref="CP104" authorId="2">
      <text>
        <r>
          <rPr>
            <b/>
            <sz val="9"/>
            <color indexed="81"/>
            <rFont val="Tahoma"/>
            <family val="2"/>
          </rPr>
          <t>Billy Tsekos:</t>
        </r>
        <r>
          <rPr>
            <sz val="9"/>
            <color indexed="81"/>
            <rFont val="Tahoma"/>
            <family val="2"/>
          </rPr>
          <t xml:space="preserve">
</t>
        </r>
        <r>
          <rPr>
            <b/>
            <sz val="9"/>
            <color indexed="81"/>
            <rFont val="Tahoma"/>
            <family val="2"/>
          </rPr>
          <t xml:space="preserve">NBSAP-P.51: </t>
        </r>
        <r>
          <rPr>
            <sz val="9"/>
            <color indexed="81"/>
            <rFont val="Tahoma"/>
            <family val="2"/>
          </rPr>
          <t>Biodiversity in the Arab countries, already deteriorating, will be further damaged by intensifying climate change. The most vulnerable ecosystems in Lebanon are high altitudes Cedars, Sicilian fir and Juniperus which provide refuges for many specialized species and niche ecosystems.
Building ecosystem resilience to climate change is crucial for maintaining and re-establishing  ecosystems functions, and reducing threats to biodiversity. Climate change is a promising area to work on in Lebanon given that consequences are being felt even at low degrees and prevention actions can be taken at such stages</t>
        </r>
      </text>
    </comment>
    <comment ref="CQ104" authorId="2">
      <text>
        <r>
          <rPr>
            <b/>
            <sz val="9"/>
            <color indexed="81"/>
            <rFont val="Tahoma"/>
            <family val="2"/>
          </rPr>
          <t xml:space="preserve">Billy Tsekos:
NBSAP-P.51: </t>
        </r>
        <r>
          <rPr>
            <sz val="9"/>
            <color indexed="81"/>
            <rFont val="Tahoma"/>
            <family val="2"/>
          </rPr>
          <t xml:space="preserve">
</t>
        </r>
        <r>
          <rPr>
            <b/>
            <sz val="9"/>
            <color indexed="81"/>
            <rFont val="Tahoma"/>
            <family val="2"/>
          </rPr>
          <t>National Action 14.1</t>
        </r>
        <r>
          <rPr>
            <sz val="9"/>
            <color indexed="81"/>
            <rFont val="Tahoma"/>
            <family val="2"/>
          </rPr>
          <t xml:space="preserve">
Identify key ecosystems vulnerable to climate change and their needs for adaptation.
</t>
        </r>
        <r>
          <rPr>
            <b/>
            <sz val="9"/>
            <color indexed="81"/>
            <rFont val="Tahoma"/>
            <family val="2"/>
          </rPr>
          <t>National Action 14.2</t>
        </r>
        <r>
          <rPr>
            <sz val="9"/>
            <color indexed="81"/>
            <rFont val="Tahoma"/>
            <family val="2"/>
          </rPr>
          <t xml:space="preserve">
Include a chapter dedicated to biodiversity and vulnerable ecosystems in Lebanon’s National
Communications to the United Nations Framework Convention on Climate Change (UNFCCC).</t>
        </r>
      </text>
    </comment>
    <comment ref="ER104" authorId="0">
      <text>
        <r>
          <rPr>
            <sz val="9"/>
            <color indexed="81"/>
            <rFont val="Tahoma"/>
            <family val="2"/>
          </rPr>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r>
      </text>
    </comment>
    <comment ref="ER105" authorId="0">
      <text>
        <r>
          <rPr>
            <sz val="9"/>
            <color indexed="81"/>
            <rFont val="Tahoma"/>
            <family val="2"/>
          </rPr>
          <t xml:space="preserve">Measure 2.2. Ensuring the favourable conservation status of habitats
Measure 2.3. Ensuring landscape diversity. 
Measure 2.4. Conservation management of natural objects. 
</t>
        </r>
      </text>
    </comment>
    <comment ref="H106" authorId="2">
      <text>
        <r>
          <rPr>
            <b/>
            <sz val="9"/>
            <color indexed="81"/>
            <rFont val="Calibri"/>
            <family val="2"/>
          </rPr>
          <t>Billy Tsekos:</t>
        </r>
        <r>
          <rPr>
            <sz val="9"/>
            <color indexed="81"/>
            <rFont val="Calibri"/>
            <family val="2"/>
          </rPr>
          <t xml:space="preserve">
2004</t>
        </r>
      </text>
    </comment>
    <comment ref="W106" authorId="2">
      <text>
        <r>
          <rPr>
            <b/>
            <sz val="9"/>
            <color indexed="81"/>
            <rFont val="Tahoma"/>
            <family val="2"/>
          </rPr>
          <t>Billy Tsekos:</t>
        </r>
        <r>
          <rPr>
            <sz val="9"/>
            <color indexed="81"/>
            <rFont val="Tahoma"/>
            <family val="2"/>
          </rPr>
          <t xml:space="preserve">
The INDc mentions that a possible scenario is that oil palm trees will be wild or grown by large farms or through subsistence farmnig to be used as biodiesel.</t>
        </r>
      </text>
    </comment>
    <comment ref="Z106" authorId="2">
      <text>
        <r>
          <rPr>
            <b/>
            <sz val="9"/>
            <color indexed="81"/>
            <rFont val="Tahoma"/>
            <family val="2"/>
          </rPr>
          <t>Billy Tsekos:
NR-p.13:</t>
        </r>
        <r>
          <rPr>
            <sz val="9"/>
            <color indexed="81"/>
            <rFont val="Tahoma"/>
            <family val="2"/>
          </rPr>
          <t xml:space="preserve"> The total land area of Liberia is 9.59 million hectares, of which forests cover about 4.39 million hectares equivalent to 45 percent of the land area, including 2.42 million hectares which have been classified as closed dense forest; 1.02 million hectares  are classified as open dense forest, and .95 million hectares classified as agriculture degraded forest.
</t>
        </r>
        <r>
          <rPr>
            <b/>
            <sz val="9"/>
            <color indexed="81"/>
            <rFont val="Tahoma"/>
            <family val="2"/>
          </rPr>
          <t xml:space="preserve">
NR-p.10: </t>
        </r>
        <r>
          <rPr>
            <sz val="9"/>
            <color indexed="81"/>
            <rFont val="Tahoma"/>
            <family val="2"/>
          </rPr>
          <t xml:space="preserve">The country has one of the largest protected area networks in the region, about 1.4million hectares of forestland which is estimated to be 30% of the land area of the country. </t>
        </r>
        <r>
          <rPr>
            <b/>
            <sz val="9"/>
            <color indexed="81"/>
            <rFont val="Tahoma"/>
            <family val="2"/>
          </rPr>
          <t xml:space="preserve">
</t>
        </r>
        <r>
          <rPr>
            <sz val="9"/>
            <color indexed="81"/>
            <rFont val="Tahoma"/>
            <family val="2"/>
          </rPr>
          <t xml:space="preserve">
</t>
        </r>
        <r>
          <rPr>
            <b/>
            <sz val="9"/>
            <color indexed="81"/>
            <rFont val="Tahoma"/>
            <family val="2"/>
          </rPr>
          <t xml:space="preserve">NR-p.30: </t>
        </r>
        <r>
          <rPr>
            <sz val="9"/>
            <color indexed="81"/>
            <rFont val="Tahoma"/>
            <family val="2"/>
          </rPr>
          <t xml:space="preserve">The Forest Reformed Law of 2006 requires a national forest management strategy as pre-requisite for forestland use in the country. The FDA conducted forest management suitability study from 2005 to 2006 to identify the most suitable area for the three categories of forestry which the new law mandates forest practices in the country should be based on (commercial, conservation and community forestry). The study identified a total of 5,705,559 hectares which is equal to 59% of the total land mass of the country.
</t>
        </r>
        <r>
          <rPr>
            <b/>
            <sz val="9"/>
            <color indexed="81"/>
            <rFont val="Tahoma"/>
            <family val="2"/>
          </rPr>
          <t>NR-p.74:</t>
        </r>
        <r>
          <rPr>
            <sz val="9"/>
            <color indexed="81"/>
            <rFont val="Tahoma"/>
            <family val="2"/>
          </rPr>
          <t xml:space="preserve"> The total area of the permanent forest estate comprises approximately 1.7 million hectares. </t>
        </r>
      </text>
    </comment>
    <comment ref="AH106" authorId="2">
      <text>
        <r>
          <rPr>
            <b/>
            <sz val="9"/>
            <color indexed="81"/>
            <rFont val="Tahoma"/>
            <family val="2"/>
          </rPr>
          <t>Billy Tsekos:</t>
        </r>
        <r>
          <rPr>
            <sz val="9"/>
            <color indexed="81"/>
            <rFont val="Tahoma"/>
            <family val="2"/>
          </rPr>
          <t xml:space="preserve">
</t>
        </r>
        <r>
          <rPr>
            <b/>
            <sz val="9"/>
            <color indexed="81"/>
            <rFont val="Tahoma"/>
            <family val="2"/>
          </rPr>
          <t>NR-p.75</t>
        </r>
        <r>
          <rPr>
            <sz val="9"/>
            <color indexed="81"/>
            <rFont val="Tahoma"/>
            <family val="2"/>
          </rPr>
          <t>:The annual deforestation rate for the period 2000-2006 is 0.35%. Total deforestation between 1990 and 2005 was 22%.</t>
        </r>
      </text>
    </comment>
    <comment ref="AV106" authorId="2">
      <text>
        <r>
          <rPr>
            <b/>
            <sz val="9"/>
            <color indexed="81"/>
            <rFont val="Tahoma"/>
            <family val="2"/>
          </rPr>
          <t>Billy Tsekos:</t>
        </r>
        <r>
          <rPr>
            <sz val="9"/>
            <color indexed="81"/>
            <rFont val="Tahoma"/>
            <family val="2"/>
          </rPr>
          <t xml:space="preserve">
</t>
        </r>
        <r>
          <rPr>
            <b/>
            <sz val="9"/>
            <color indexed="81"/>
            <rFont val="Tahoma"/>
            <family val="2"/>
          </rPr>
          <t xml:space="preserve">NR-p.41: </t>
        </r>
        <r>
          <rPr>
            <sz val="9"/>
            <color indexed="81"/>
            <rFont val="Tahoma"/>
            <family val="2"/>
          </rPr>
          <t>Forest Cover in the Upper Guinea Forest Massif has now reduced from the previous 42% documented at the beginning of the millennium (2000) to approximately 37-39% due to the allocation of concession rights to FMC, TSC, and PUP holders</t>
        </r>
      </text>
    </comment>
    <comment ref="BA106" authorId="0">
      <text>
        <r>
          <rPr>
            <b/>
            <sz val="9"/>
            <color indexed="81"/>
            <rFont val="Tahoma"/>
            <family val="2"/>
          </rPr>
          <t xml:space="preserve">NR-p.47: </t>
        </r>
        <r>
          <rPr>
            <sz val="9"/>
            <color indexed="81"/>
            <rFont val="Tahoma"/>
            <family val="2"/>
          </rPr>
          <t xml:space="preserve">At least 60% reduction in the rate of deforestation in thesoutheast and northwestern biomes especially those attributable to subsistence agriculture, forestry and mining activities by 2018; </t>
        </r>
      </text>
    </comment>
    <comment ref="BC106" authorId="2">
      <text>
        <r>
          <rPr>
            <b/>
            <sz val="9"/>
            <color indexed="81"/>
            <rFont val="Tahoma"/>
            <family val="2"/>
          </rPr>
          <t>Billy Tsekos:</t>
        </r>
        <r>
          <rPr>
            <sz val="9"/>
            <color indexed="81"/>
            <rFont val="Tahoma"/>
            <family val="2"/>
          </rPr>
          <t xml:space="preserve">
60%</t>
        </r>
      </text>
    </comment>
    <comment ref="BD106" authorId="2">
      <text>
        <r>
          <rPr>
            <b/>
            <sz val="9"/>
            <color indexed="81"/>
            <rFont val="Tahoma"/>
            <family val="2"/>
          </rPr>
          <t>Billy Tsekos:</t>
        </r>
        <r>
          <rPr>
            <sz val="9"/>
            <color indexed="81"/>
            <rFont val="Tahoma"/>
            <family val="2"/>
          </rPr>
          <t xml:space="preserve">
2018</t>
        </r>
      </text>
    </comment>
    <comment ref="BI106" authorId="2">
      <text>
        <r>
          <rPr>
            <b/>
            <sz val="9"/>
            <color indexed="81"/>
            <rFont val="Tahoma"/>
            <family val="2"/>
          </rPr>
          <t>Billy Tsekos:</t>
        </r>
        <r>
          <rPr>
            <sz val="9"/>
            <color indexed="81"/>
            <rFont val="Tahoma"/>
            <family val="2"/>
          </rPr>
          <t xml:space="preserve">
</t>
        </r>
        <r>
          <rPr>
            <b/>
            <sz val="9"/>
            <color indexed="81"/>
            <rFont val="Tahoma"/>
            <family val="2"/>
          </rPr>
          <t xml:space="preserve">NR-P.43: </t>
        </r>
        <r>
          <rPr>
            <sz val="9"/>
            <color indexed="81"/>
            <rFont val="Tahoma"/>
            <family val="2"/>
          </rPr>
          <t>Build climate resilience ecosystems through effective management of protected areas
network;</t>
        </r>
      </text>
    </comment>
    <comment ref="BL106" authorId="2">
      <text>
        <r>
          <rPr>
            <b/>
            <sz val="9"/>
            <color indexed="81"/>
            <rFont val="Tahoma"/>
            <family val="2"/>
          </rPr>
          <t>Billy Tsekos:</t>
        </r>
        <r>
          <rPr>
            <sz val="9"/>
            <color indexed="81"/>
            <rFont val="Tahoma"/>
            <family val="2"/>
          </rPr>
          <t xml:space="preserve">
</t>
        </r>
        <r>
          <rPr>
            <b/>
            <sz val="9"/>
            <color indexed="81"/>
            <rFont val="Tahoma"/>
            <family val="2"/>
          </rPr>
          <t>NR-p.32</t>
        </r>
        <r>
          <rPr>
            <sz val="9"/>
            <color indexed="81"/>
            <rFont val="Tahoma"/>
            <family val="2"/>
          </rPr>
          <t xml:space="preserve">: According to the FDA, the 2006 Forestry Reformed Law apportioned 1.5 million hectares of forest land for conservation. Judging by the notion that Liberia still contains 43% of the Upper Guinean Forest Ecosystem in humid West Africa, about 30% of the forest land remaining in the country is placed in protected area management. FDA emphasized that having 30% of forest land area in protection is a plus because the CBD only requires 10%; although forest cover removal has out-weighed reforestation programme. Subsistent agriculture which is estimated to be practiced by 70% of the population of the country consumes nearly 3.9 million ha. With unsustainable logging practices and mining activities on the increase, the conduct of a new inventory of the forest to determine the actual forest cover remaining in the country is a necessity. </t>
        </r>
      </text>
    </comment>
    <comment ref="BX106" authorId="2">
      <text>
        <r>
          <rPr>
            <b/>
            <sz val="9"/>
            <color indexed="81"/>
            <rFont val="Tahoma"/>
            <family val="2"/>
          </rPr>
          <t>Billy Tsekos:</t>
        </r>
        <r>
          <rPr>
            <sz val="9"/>
            <color indexed="81"/>
            <rFont val="Tahoma"/>
            <family val="2"/>
          </rPr>
          <t xml:space="preserve">
</t>
        </r>
        <r>
          <rPr>
            <b/>
            <sz val="9"/>
            <color indexed="81"/>
            <rFont val="Tahoma"/>
            <family val="2"/>
          </rPr>
          <t xml:space="preserve">NR-P.33: </t>
        </r>
        <r>
          <rPr>
            <sz val="9"/>
            <color indexed="81"/>
            <rFont val="Tahoma"/>
            <family val="2"/>
          </rPr>
          <t>MAIN THREATS TO BIODIVERSITY</t>
        </r>
      </text>
    </comment>
    <comment ref="CH106"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 xml:space="preserve">The Government of Liberia through the Forestry Development Authority in 2010 received US$2,000,000 funding from the Forest Carbon Partnership Facility (FCPF) to assist in development of Liberia’s Readiness Preparation Proposal, the establishment of an international mechanism to compensate countries for reducing greenhouse gas emissions from deforestation and forest degradation (REDD+) offers an opportunity for Liberia to serve the common interest in managing its forests in a balanced way for long-term sustainable economic growth; to support the livelihood of local and rural communities; and to ensure that its important national and global heritage is conserved. Liberia received a further US$3.6m grant from FCPF to implement the Readiness Preparation Activities. The grant agreement was signed on June 29, 2012 up to May 30, 2015. </t>
        </r>
      </text>
    </comment>
    <comment ref="CP106" authorId="2">
      <text>
        <r>
          <rPr>
            <b/>
            <sz val="9"/>
            <color indexed="81"/>
            <rFont val="Tahoma"/>
            <family val="2"/>
          </rPr>
          <t xml:space="preserve">Billy Tsekos:
NR-P.43: </t>
        </r>
        <r>
          <rPr>
            <sz val="9"/>
            <color indexed="81"/>
            <rFont val="Tahoma"/>
            <family val="2"/>
          </rPr>
          <t xml:space="preserve">
</t>
        </r>
        <r>
          <rPr>
            <b/>
            <sz val="9"/>
            <color indexed="81"/>
            <rFont val="Tahoma"/>
            <family val="2"/>
          </rPr>
          <t>Specific Goal:</t>
        </r>
        <r>
          <rPr>
            <sz val="9"/>
            <color indexed="81"/>
            <rFont val="Tahoma"/>
            <family val="2"/>
          </rPr>
          <t xml:space="preserve"> Build climate resilience ecosystems through effective management of protected areasnetwork; </t>
        </r>
      </text>
    </comment>
    <comment ref="CW106" authorId="2">
      <text>
        <r>
          <rPr>
            <b/>
            <sz val="9"/>
            <color indexed="81"/>
            <rFont val="Tahoma"/>
            <family val="2"/>
          </rPr>
          <t>Billy Tsekos:</t>
        </r>
        <r>
          <rPr>
            <sz val="9"/>
            <color indexed="81"/>
            <rFont val="Tahoma"/>
            <family val="2"/>
          </rPr>
          <t xml:space="preserve">
</t>
        </r>
        <r>
          <rPr>
            <b/>
            <sz val="9"/>
            <color indexed="81"/>
            <rFont val="Tahoma"/>
            <family val="2"/>
          </rPr>
          <t>NR-P.50:</t>
        </r>
        <r>
          <rPr>
            <sz val="9"/>
            <color indexed="81"/>
            <rFont val="Tahoma"/>
            <family val="2"/>
          </rPr>
          <t xml:space="preserve"> Protected areas Target:10% of forest land areas, remaining biomes and the 5% coastal and marine place in protected area network by 2018. 
</t>
        </r>
      </text>
    </comment>
    <comment ref="DL106" authorId="2">
      <text>
        <r>
          <rPr>
            <b/>
            <sz val="9"/>
            <color indexed="81"/>
            <rFont val="Tahoma"/>
            <family val="2"/>
          </rPr>
          <t>Billy Tsekos:</t>
        </r>
        <r>
          <rPr>
            <sz val="9"/>
            <color indexed="81"/>
            <rFont val="Tahoma"/>
            <family val="2"/>
          </rPr>
          <t xml:space="preserve">
</t>
        </r>
        <r>
          <rPr>
            <b/>
            <sz val="9"/>
            <color indexed="81"/>
            <rFont val="Tahoma"/>
            <family val="2"/>
          </rPr>
          <t>Forestry</t>
        </r>
        <r>
          <rPr>
            <sz val="9"/>
            <color indexed="81"/>
            <rFont val="Tahoma"/>
            <family val="2"/>
          </rPr>
          <t xml:space="preserve">
 Increase awareness and strengthen participation of local dwellers in forest conservation.
 Protection of forest and biodiversity rich forest zones.
 Increase the amount of forested land through reforestation of degraded lands.</t>
        </r>
      </text>
    </comment>
    <comment ref="DM106" authorId="2">
      <text>
        <r>
          <rPr>
            <b/>
            <sz val="9"/>
            <color indexed="81"/>
            <rFont val="Tahoma"/>
            <family val="2"/>
          </rPr>
          <t>Billy Tsekos:</t>
        </r>
        <r>
          <rPr>
            <sz val="9"/>
            <color indexed="81"/>
            <rFont val="Tahoma"/>
            <family val="2"/>
          </rPr>
          <t xml:space="preserve">
 Liberia’s total national GHG emissions for the year 2000 is estimated to be 8,022 Gg of equivalent CO</t>
        </r>
      </text>
    </comment>
    <comment ref="DN106" authorId="2">
      <text>
        <r>
          <rPr>
            <b/>
            <sz val="9"/>
            <color indexed="81"/>
            <rFont val="Tahoma"/>
            <family val="2"/>
          </rPr>
          <t>Billy Tsekos:</t>
        </r>
        <r>
          <rPr>
            <sz val="9"/>
            <color indexed="81"/>
            <rFont val="Tahoma"/>
            <family val="2"/>
          </rPr>
          <t xml:space="preserve">
The LULUCF sector is  POSTIVE 96,811 Gg CO2 Eq
</t>
        </r>
      </text>
    </comment>
    <comment ref="DO106" authorId="2">
      <text>
        <r>
          <rPr>
            <b/>
            <sz val="9"/>
            <color indexed="81"/>
            <rFont val="Tahoma"/>
            <family val="2"/>
          </rPr>
          <t>Billy Tsekos:</t>
        </r>
        <r>
          <rPr>
            <sz val="9"/>
            <color indexed="81"/>
            <rFont val="Tahoma"/>
            <family val="2"/>
          </rPr>
          <t xml:space="preserve">
</t>
        </r>
        <r>
          <rPr>
            <b/>
            <sz val="9"/>
            <color indexed="81"/>
            <rFont val="Tahoma"/>
            <family val="2"/>
          </rPr>
          <t xml:space="preserve">31.9% </t>
        </r>
        <r>
          <rPr>
            <sz val="9"/>
            <color indexed="81"/>
            <rFont val="Tahoma"/>
            <family val="2"/>
          </rPr>
          <t xml:space="preserve">from agriculture
</t>
        </r>
      </text>
    </comment>
    <comment ref="EH106" authorId="0">
      <text>
        <r>
          <rPr>
            <sz val="9"/>
            <color indexed="81"/>
            <rFont val="Tahoma"/>
            <family val="2"/>
          </rPr>
          <t xml:space="preserve">Bonn challenge
Commitment= 15 million hectares 
Carbon sequestered= 1.42 GtCO2
Economic benefit= 4,710 million USD
Endorsement of the New York Declaration on Forests
NAMAsT5:
• A total of 28,736.70 km2 of natural high forest area sustainably managed in order to reduce GHG emissions from deforestation and forest degradation;
• A total of 4,390.96 km2 of deciduous forest land sustainably managed in order to reduce GHG emissions from deforestation and forest degradation
• A total of 60,360 km2 of national parks sustainably managed in order to reduce GHG emissions from deforestation and forest degradation.
T15:
• Enhanced district-level reforestation actions to increase the vegetation cover of 214,440 km2 of degraded lands, lands affected by gullies and slopes, including through the management of community areas closed off to grazing;
• A total of 60,360 km2 of national parks sustainably managed in order to reduce GHG emissions from deforestation and forest degradation.
• A total of 52,695 km2 of forest in exhaustion or production forests established and sustainably managed for the purpose of sequestrating carbon
</t>
        </r>
      </text>
    </comment>
    <comment ref="ER106" authorId="0">
      <text>
        <r>
          <rPr>
            <sz val="9"/>
            <color indexed="81"/>
            <rFont val="Tahoma"/>
            <family val="2"/>
          </rPr>
          <t xml:space="preserve">
</t>
        </r>
      </text>
    </comment>
    <comment ref="BA108" authorId="0">
      <text>
        <r>
          <rPr>
            <sz val="9"/>
            <color indexed="81"/>
            <rFont val="Tahoma"/>
            <family val="2"/>
          </rPr>
          <t>NI</t>
        </r>
      </text>
    </comment>
    <comment ref="ER109" authorId="0">
      <text>
        <r>
          <rPr>
            <sz val="9"/>
            <color indexed="81"/>
            <rFont val="Tahoma"/>
            <family val="2"/>
          </rPr>
          <t xml:space="preserve">Target 5. The loss of all natural habitats has been halted, and the degradation and fragmentation of natural habitats have been significantly reduced.
</t>
        </r>
      </text>
    </comment>
    <comment ref="ET109" authorId="0">
      <text>
        <r>
          <rPr>
            <sz val="9"/>
            <color indexed="81"/>
            <rFont val="Tahoma"/>
            <family val="2"/>
          </rPr>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r>
      </text>
    </comment>
    <comment ref="ER110" authorId="0">
      <text>
        <r>
          <rPr>
            <sz val="9"/>
            <color indexed="81"/>
            <rFont val="Tahoma"/>
            <family val="2"/>
          </rPr>
          <t>Target 11 Control pressures on biodiversity</t>
        </r>
      </text>
    </comment>
    <comment ref="ET110" authorId="0">
      <text>
        <r>
          <rPr>
            <sz val="9"/>
            <color indexed="81"/>
            <rFont val="Tahoma"/>
            <family val="2"/>
          </rPr>
          <t>(P. NBSAP 37) Target 6 Preserve and
restore ecosystems and
their functioning</t>
        </r>
      </text>
    </comment>
    <comment ref="ER111" authorId="0">
      <text>
        <r>
          <rPr>
            <sz val="9"/>
            <color indexed="81"/>
            <rFont val="Tahoma"/>
            <family val="2"/>
          </rPr>
          <t xml:space="preserve">General Target 2:
Conservation of national natural
capital and ecosystem restoration
General Target 3:
Organisation and operation of a
National System of Protected Areas
and enhancement of benefits from
their management
All general targets contribute to the
achievement of this goal </t>
        </r>
      </text>
    </comment>
    <comment ref="ET111" authorId="0">
      <text>
        <r>
          <rPr>
            <sz val="9"/>
            <color indexed="81"/>
            <rFont val="Tahoma"/>
            <family val="2"/>
          </rPr>
          <t>(P. 106)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r>
      </text>
    </comment>
    <comment ref="BA112" authorId="0">
      <text>
        <r>
          <rPr>
            <sz val="9"/>
            <color indexed="81"/>
            <rFont val="Tahoma"/>
            <family val="2"/>
          </rPr>
          <t>Target 6: By 2025 at least 50% of the degraded terrestrial habitats are restored and protected</t>
        </r>
      </text>
    </comment>
    <comment ref="BI112" authorId="0">
      <text>
        <r>
          <rPr>
            <sz val="9"/>
            <color indexed="81"/>
            <rFont val="Tahoma"/>
            <family val="2"/>
          </rPr>
          <t>5NR- p.43- By 2020 area under forest cover is increased by 4% and managed sustainably, ensuring conservation of biodiversity</t>
        </r>
      </text>
    </comment>
    <comment ref="Z113" authorId="1">
      <text>
        <r>
          <rPr>
            <b/>
            <sz val="9"/>
            <color indexed="81"/>
            <rFont val="Tahoma"/>
            <family val="2"/>
          </rPr>
          <t>billy.tsekos:</t>
        </r>
        <r>
          <rPr>
            <sz val="9"/>
            <color indexed="81"/>
            <rFont val="Tahoma"/>
            <family val="2"/>
          </rPr>
          <t xml:space="preserve">
</t>
        </r>
        <r>
          <rPr>
            <b/>
            <sz val="9"/>
            <color indexed="81"/>
            <rFont val="Tahoma"/>
            <family val="2"/>
          </rPr>
          <t>NR-P.16:</t>
        </r>
        <r>
          <rPr>
            <sz val="9"/>
            <color indexed="81"/>
            <rFont val="Tahoma"/>
            <family val="2"/>
          </rPr>
          <t xml:space="preserve"> </t>
        </r>
        <r>
          <rPr>
            <sz val="9"/>
            <color indexed="81"/>
            <rFont val="Times New Roman"/>
            <family val="1"/>
          </rPr>
          <t>Malaysia is committed to maintain at least 50% of her land area under forest and tree cover in perpetuity as pledged under the 1992 Rio Earth Summit. This is attained through the protection of forests and the application of Sustainable Forest Management (SFM) practices.</t>
        </r>
        <r>
          <rPr>
            <b/>
            <sz val="9"/>
            <color indexed="81"/>
            <rFont val="Times New Roman"/>
            <family val="1"/>
          </rPr>
          <t xml:space="preserve"> In 2012, approximately 21.01 million hectares or 63% of Malaysia remains forested. </t>
        </r>
        <r>
          <rPr>
            <sz val="9"/>
            <color indexed="81"/>
            <rFont val="Times New Roman"/>
            <family val="1"/>
          </rPr>
          <t xml:space="preserve">Of this area, approximately 14.5 million hectares have been designated as PRF/PFE. With regards to land capability and overall land use, it is noted that there is a need for further development to meet the requirements of a growing population and the country’s socio economic development agenda 
</t>
        </r>
        <r>
          <rPr>
            <b/>
            <sz val="9"/>
            <color indexed="81"/>
            <rFont val="Times New Roman"/>
            <family val="1"/>
          </rPr>
          <t xml:space="preserve">P. NR-26: </t>
        </r>
        <r>
          <rPr>
            <sz val="9"/>
            <color indexed="81"/>
            <rFont val="Times New Roman"/>
            <family val="1"/>
          </rPr>
          <t xml:space="preserve">Table 2: Total forested area in Malaysia for the year 2010 - 2012
</t>
        </r>
        <r>
          <rPr>
            <b/>
            <sz val="9"/>
            <color indexed="81"/>
            <rFont val="Times New Roman"/>
            <family val="1"/>
          </rPr>
          <t xml:space="preserve">P. NR-29: </t>
        </r>
        <r>
          <rPr>
            <sz val="9"/>
            <color indexed="81"/>
            <rFont val="Times New Roman"/>
            <family val="1"/>
          </rPr>
          <t xml:space="preserve">Table 3: Trends for Permanent Reserved Forests for 2009, 2010 and 2012 in Sabah
</t>
        </r>
        <r>
          <rPr>
            <b/>
            <sz val="9"/>
            <color indexed="81"/>
            <rFont val="Times New Roman"/>
            <family val="1"/>
          </rPr>
          <t xml:space="preserve">
NR-P.19: </t>
        </r>
        <r>
          <rPr>
            <sz val="9"/>
            <color indexed="81"/>
            <rFont val="Times New Roman"/>
            <family val="1"/>
          </rPr>
          <t xml:space="preserve">Peat swamp forests are water logged forests and still contributes a significant portion of forest cover in Malaysia. There is an estimated 1.54 million hectares still remaining. Majority of peat swamps are found in the State of Sarawak (estimated around 70%), less than 20% in Peninsular Malaysia and the remainder in Sabah. 18 Threats to peat swamp forest include land use change for agriculture and other developmental activities.
</t>
        </r>
        <r>
          <rPr>
            <b/>
            <sz val="9"/>
            <color indexed="81"/>
            <rFont val="Times New Roman"/>
            <family val="1"/>
          </rPr>
          <t xml:space="preserve">NR-P.24: </t>
        </r>
        <r>
          <rPr>
            <sz val="9"/>
            <color indexed="81"/>
            <rFont val="Times New Roman"/>
            <family val="1"/>
          </rPr>
          <t xml:space="preserve">Within the PRFs in Malaysia, the country recorded mangrove areas at 544,032 hectares in 2012; showing an upward trend from the last reporting period where in 2009, mangroves areas was recorded at 539,142 hectares. Peninsular Malaysia, in 2012, recorded total mangrove areas of 98,848 hectares. The State of Sabah has the largest area of mangrove forest in the country and within PRFs, the figure in 2012 stands at 333,019 hectares. Meanwhile, the total mangrove forest area in Sarawak in 2012 is 112,165 hectares.
</t>
        </r>
        <r>
          <rPr>
            <b/>
            <sz val="9"/>
            <color indexed="81"/>
            <rFont val="Times New Roman"/>
            <family val="1"/>
          </rPr>
          <t>NR-P.29: :</t>
        </r>
        <r>
          <rPr>
            <sz val="9"/>
            <color indexed="81"/>
            <rFont val="Times New Roman"/>
            <family val="1"/>
          </rPr>
          <t>Sabah’s land area totals 7,362,000 hectares which is inclusive of her islands. As the table above indicates, about 3,609,249 hectares, or 49% are gazzeted as Permanent Reserved Forests. This could be further sub-categorized as 227 forest reserves of various types and ecosystems. As of 2012, there is an increment of forest reserves area amounting to 0.07% or 2,602 hectares compared to 2010 figures. There is substantial increase in Class I level protection due to the reclassification of commercial forests into protected forests.</t>
        </r>
      </text>
    </comment>
    <comment ref="AH113" authorId="1">
      <text>
        <r>
          <rPr>
            <b/>
            <sz val="9"/>
            <color indexed="81"/>
            <rFont val="Tahoma"/>
            <family val="2"/>
          </rPr>
          <t>billy.tsekos:</t>
        </r>
        <r>
          <rPr>
            <sz val="9"/>
            <color indexed="81"/>
            <rFont val="Tahoma"/>
            <family val="2"/>
          </rPr>
          <t xml:space="preserve">
</t>
        </r>
        <r>
          <rPr>
            <b/>
            <sz val="9"/>
            <color indexed="81"/>
            <rFont val="Tahoma"/>
            <family val="2"/>
          </rPr>
          <t>NR-P.26</t>
        </r>
        <r>
          <rPr>
            <sz val="9"/>
            <color indexed="81"/>
            <rFont val="Tahoma"/>
            <family val="2"/>
          </rPr>
          <t xml:space="preserve">: Table 2: Total forested area in Malaysia for the year 2010 - 2012
</t>
        </r>
        <r>
          <rPr>
            <b/>
            <sz val="9"/>
            <color indexed="81"/>
            <rFont val="Tahoma"/>
            <family val="2"/>
          </rPr>
          <t xml:space="preserve">
NR-P.29:</t>
        </r>
        <r>
          <rPr>
            <sz val="9"/>
            <color indexed="81"/>
            <rFont val="Tahoma"/>
            <family val="2"/>
          </rPr>
          <t xml:space="preserve"> Table 3: Trends for Permanent Reserved Forests for 2009, 2010 and 2012 in Sabah.</t>
        </r>
      </text>
    </comment>
    <comment ref="BH113" authorId="1">
      <text>
        <r>
          <rPr>
            <b/>
            <sz val="9"/>
            <color indexed="81"/>
            <rFont val="Tahoma"/>
            <family val="2"/>
          </rPr>
          <t>billy.tsekos:</t>
        </r>
        <r>
          <rPr>
            <sz val="9"/>
            <color indexed="81"/>
            <rFont val="Tahoma"/>
            <family val="2"/>
          </rPr>
          <t xml:space="preserve">
</t>
        </r>
        <r>
          <rPr>
            <b/>
            <sz val="9"/>
            <color indexed="81"/>
            <rFont val="Tahoma"/>
            <family val="2"/>
          </rPr>
          <t xml:space="preserve">NR-P.63: </t>
        </r>
        <r>
          <rPr>
            <sz val="9"/>
            <color indexed="81"/>
            <rFont val="Tahoma"/>
            <family val="2"/>
          </rPr>
          <t xml:space="preserve">With regard to land/seascapes management for biodiversity as highlighted in (ii) above recognises that habitat loss and fragmentation have affected biodiversity at all levels. It highlights the important biodiversity management to be done in a holistic manner through complementary inter-agency actions. It also stipulates the need for inter-sectoral communication and cooperation across all levels of government and civil society
</t>
        </r>
        <r>
          <rPr>
            <b/>
            <sz val="9"/>
            <color indexed="81"/>
            <rFont val="Tahoma"/>
            <family val="2"/>
          </rPr>
          <t xml:space="preserve">NR-P.79: </t>
        </r>
        <r>
          <rPr>
            <sz val="9"/>
            <color indexed="81"/>
            <rFont val="Tahoma"/>
            <family val="2"/>
          </rPr>
          <t xml:space="preserve">Forest fragmentation is identified as a major threat to the conservation and maintenance of biodiversity withinThe Central Forest Spine Master Plan  </t>
        </r>
      </text>
    </comment>
    <comment ref="BL113" authorId="1">
      <text>
        <r>
          <rPr>
            <b/>
            <sz val="9"/>
            <color indexed="81"/>
            <rFont val="Tahoma"/>
            <family val="2"/>
          </rPr>
          <t>billy.tsekos:</t>
        </r>
        <r>
          <rPr>
            <sz val="9"/>
            <color indexed="81"/>
            <rFont val="Tahoma"/>
            <family val="2"/>
          </rPr>
          <t xml:space="preserve">
</t>
        </r>
        <r>
          <rPr>
            <b/>
            <sz val="9"/>
            <color indexed="81"/>
            <rFont val="Tahoma"/>
            <family val="2"/>
          </rPr>
          <t xml:space="preserve">NR-P.28: </t>
        </r>
        <r>
          <rPr>
            <sz val="9"/>
            <color indexed="81"/>
            <rFont val="Tahoma"/>
            <family val="2"/>
          </rPr>
          <t xml:space="preserve">To date, a total of 22 High Conversation Value Forest (HCVF) had been established within PRFs in Peninsular Malaysia for the in- situ conservation of various unique flora species, water catchment areas, seed production areas, pristine virgin jungle reserves, lowland dipterocarp forest and customary burial ground covering a region of 2,649.40 hectares.
</t>
        </r>
        <r>
          <rPr>
            <b/>
            <sz val="9"/>
            <color indexed="81"/>
            <rFont val="Tahoma"/>
            <family val="2"/>
          </rPr>
          <t xml:space="preserve">NR-P.81: </t>
        </r>
        <r>
          <rPr>
            <sz val="9"/>
            <color indexed="81"/>
            <rFont val="Tahoma"/>
            <family val="2"/>
          </rPr>
          <t xml:space="preserve">The Heart of Borneo Initiative is a voluntary transboundary cooperation between Malaysia, Indonesia and Brunei, seated upon sustainable development foundations aimed at conserving and managing the contiguous tropical forests in the island of Borneo. </t>
        </r>
      </text>
    </comment>
    <comment ref="BP113" authorId="1">
      <text>
        <r>
          <rPr>
            <b/>
            <sz val="9"/>
            <color indexed="81"/>
            <rFont val="Tahoma"/>
            <family val="2"/>
          </rPr>
          <t>billy.tsekos:</t>
        </r>
        <r>
          <rPr>
            <sz val="9"/>
            <color indexed="81"/>
            <rFont val="Tahoma"/>
            <family val="2"/>
          </rPr>
          <t xml:space="preserve">
</t>
        </r>
        <r>
          <rPr>
            <b/>
            <sz val="9"/>
            <color indexed="81"/>
            <rFont val="Tahoma"/>
            <family val="2"/>
          </rPr>
          <t xml:space="preserve">(NR-P. 12) </t>
        </r>
        <r>
          <rPr>
            <sz val="9"/>
            <color indexed="81"/>
            <rFont val="Tahoma"/>
            <family val="2"/>
          </rPr>
          <t xml:space="preserve">National Wetlands Policy 2004 - (which is currently under revision) aims  to ensure conservation and the wise-use of the wetlands to benefit from its functions, as well as fulfil Malaysia’s obligations under the RAMSAR Convention. The policy’s objectives include:
a) protection and conservation of different types of wetlands;
b) integration of wetlands conservation interests into overall natural resource planning;
c) increase scientific and technical knowledge and public appreciation of wetlands functions and benefits; and
</t>
        </r>
        <r>
          <rPr>
            <b/>
            <sz val="9"/>
            <color indexed="81"/>
            <rFont val="Tahoma"/>
            <family val="2"/>
          </rPr>
          <t>d) restoration of degraded wetlands.</t>
        </r>
        <r>
          <rPr>
            <sz val="9"/>
            <color indexed="81"/>
            <rFont val="Tahoma"/>
            <family val="2"/>
          </rPr>
          <t xml:space="preserve">
</t>
        </r>
        <r>
          <rPr>
            <b/>
            <sz val="9"/>
            <color indexed="81"/>
            <rFont val="Tahoma"/>
            <family val="2"/>
          </rPr>
          <t xml:space="preserve">(NR-P. 75) </t>
        </r>
        <r>
          <rPr>
            <sz val="9"/>
            <color indexed="81"/>
            <rFont val="Tahoma"/>
            <family val="2"/>
          </rPr>
          <t xml:space="preserve">The National Action Plan for Peatland Managament in Malaysia indicates the Restoration of degraded peatlands as a key activity.
</t>
        </r>
        <r>
          <rPr>
            <b/>
            <sz val="9"/>
            <color indexed="81"/>
            <rFont val="Tahoma"/>
            <family val="2"/>
          </rPr>
          <t xml:space="preserve">
(NR-P. 83)  </t>
        </r>
        <r>
          <rPr>
            <sz val="9"/>
            <color indexed="81"/>
            <rFont val="Tahoma"/>
            <family val="2"/>
          </rPr>
          <t xml:space="preserve">In Sabah, there is now a new Strategic Plan of Action 2014-2020, replacing the first Strategic Action Plan for the state which ceased in 2012. During the period of the first Strategic Plan for the state that ran from 2008-2012, many notable state efforts have contributed towards the implementation of the HoB goals. They include amongst others.
* Reforestation and restoration efforts aimed at restoring forest functionality over 150,000hectares of the most degraded areas in the state were undertaken by many stakeholders;
</t>
        </r>
      </text>
    </comment>
    <comment ref="BX113" authorId="1">
      <text>
        <r>
          <rPr>
            <b/>
            <sz val="9"/>
            <color indexed="81"/>
            <rFont val="Tahoma"/>
            <family val="2"/>
          </rPr>
          <t>billy.tsekos:</t>
        </r>
        <r>
          <rPr>
            <sz val="9"/>
            <color indexed="81"/>
            <rFont val="Tahoma"/>
            <family val="2"/>
          </rPr>
          <t xml:space="preserve">
 land use change for agriculture and other developmental activities.
</t>
        </r>
      </text>
    </comment>
    <comment ref="CP113" authorId="1">
      <text>
        <r>
          <rPr>
            <b/>
            <sz val="9"/>
            <color indexed="81"/>
            <rFont val="Tahoma"/>
            <family val="2"/>
          </rPr>
          <t>billy.tsekos:</t>
        </r>
        <r>
          <rPr>
            <sz val="9"/>
            <color indexed="81"/>
            <rFont val="Tahoma"/>
            <family val="2"/>
          </rPr>
          <t xml:space="preserve">
</t>
        </r>
        <r>
          <rPr>
            <b/>
            <sz val="9"/>
            <color indexed="81"/>
            <rFont val="Tahoma"/>
            <family val="2"/>
          </rPr>
          <t>NR-P.70:</t>
        </r>
        <r>
          <rPr>
            <sz val="9"/>
            <color indexed="81"/>
            <rFont val="Tahoma"/>
            <family val="2"/>
          </rPr>
          <t>The National Policy on Climate Change
1. Institute measures to make development climate-resilient through low carbon economy to enhance global competitiveness and attain environmentally sustainable socio-economic growth.
2. Support climate-resilient development and investment including industrial development in pursuit of sustainable socio-economic growth.</t>
        </r>
      </text>
    </comment>
    <comment ref="CQ113" authorId="1">
      <text>
        <r>
          <rPr>
            <b/>
            <sz val="9"/>
            <color indexed="81"/>
            <rFont val="Tahoma"/>
            <family val="2"/>
          </rPr>
          <t>billy.tsekos:</t>
        </r>
        <r>
          <rPr>
            <sz val="9"/>
            <color indexed="81"/>
            <rFont val="Tahoma"/>
            <family val="2"/>
          </rPr>
          <t xml:space="preserve">
</t>
        </r>
        <r>
          <rPr>
            <b/>
            <sz val="9"/>
            <color indexed="81"/>
            <rFont val="Tahoma"/>
            <family val="2"/>
          </rPr>
          <t>NR-P.79:</t>
        </r>
        <r>
          <rPr>
            <sz val="9"/>
            <color indexed="81"/>
            <rFont val="Tahoma"/>
            <family val="2"/>
          </rPr>
          <t xml:space="preserve">The Central Forest Spine (CFS) of Peninsular Malaysia is composed of four (4) main forest complexes, and an important natural landscape of Malaysia. The complex of forest supplies 90% of the population’s water supply through its numerous watersheds. Additionally the CFS also provides other services such as climate regulation, soil protection, and carbon storage and sequestration. The CFS also harbours the remaining population of Malayan tigers within its forests 
</t>
        </r>
        <r>
          <rPr>
            <b/>
            <sz val="9"/>
            <color indexed="81"/>
            <rFont val="Tahoma"/>
            <family val="2"/>
          </rPr>
          <t xml:space="preserve">
NR-P.69:The National Policy on Climate Change</t>
        </r>
        <r>
          <rPr>
            <sz val="9"/>
            <color indexed="81"/>
            <rFont val="Tahoma"/>
            <family val="2"/>
          </rPr>
          <t xml:space="preserve">
The emphasis placed within the policy is mainly to strengthen the capacity of the country in relation to climate change vulnerability and also towards promoting various mitigation responses to climate change impacts.</t>
        </r>
      </text>
    </comment>
    <comment ref="CW113" authorId="1">
      <text>
        <r>
          <rPr>
            <b/>
            <sz val="9"/>
            <color indexed="81"/>
            <rFont val="Tahoma"/>
            <family val="2"/>
          </rPr>
          <t>billy.tsekos:</t>
        </r>
        <r>
          <rPr>
            <sz val="9"/>
            <color indexed="81"/>
            <rFont val="Tahoma"/>
            <family val="2"/>
          </rPr>
          <t xml:space="preserve">
</t>
        </r>
        <r>
          <rPr>
            <b/>
            <sz val="9"/>
            <color indexed="81"/>
            <rFont val="Tahoma"/>
            <family val="2"/>
          </rPr>
          <t>NR-P.25</t>
        </r>
        <r>
          <rPr>
            <sz val="9"/>
            <color indexed="81"/>
            <rFont val="Tahoma"/>
            <family val="2"/>
          </rPr>
          <t xml:space="preserve">: Malaysia’s approach to biodiversity conservation and management is very much rooted in the protected area approach whereby areas identified as significant for biodiversity and its ecosystem values are protected by virtue of legal gazette and accorded with varying levels and status of protection.
</t>
        </r>
        <r>
          <rPr>
            <b/>
            <sz val="9"/>
            <color indexed="81"/>
            <rFont val="Tahoma"/>
            <family val="2"/>
          </rPr>
          <t>P. NR-29:</t>
        </r>
        <r>
          <rPr>
            <sz val="9"/>
            <color indexed="81"/>
            <rFont val="Tahoma"/>
            <family val="2"/>
          </rPr>
          <t xml:space="preserve"> Table 3: Trends for Permanent Reserved Forests for 2009, 2010 and 2012 in Sabah
</t>
        </r>
        <r>
          <rPr>
            <b/>
            <sz val="9"/>
            <color indexed="81"/>
            <rFont val="Tahoma"/>
            <family val="2"/>
          </rPr>
          <t>P. NR-34&amp;35:</t>
        </r>
        <r>
          <rPr>
            <sz val="9"/>
            <color indexed="81"/>
            <rFont val="Tahoma"/>
            <family val="2"/>
          </rPr>
          <t xml:space="preserve"> Sabah &amp; Saraweak Protected Areas
</t>
        </r>
        <r>
          <rPr>
            <b/>
            <sz val="9"/>
            <color indexed="81"/>
            <rFont val="Tahoma"/>
            <family val="2"/>
          </rPr>
          <t>P. NR-83:</t>
        </r>
        <r>
          <rPr>
            <sz val="9"/>
            <color indexed="81"/>
            <rFont val="Tahoma"/>
            <family val="2"/>
          </rPr>
          <t xml:space="preserve"> Out of 2.1 million hectares of forested land that is the HoB in Sarawak, about 1.6 million hectares are occupied by 15 Permanent Forest Estates (PFEs). Totally Protected Areas (TPAs) meanwhile occupies about 526,652 hectares while the rest are made up of agriculture plantations, native customary lands and other alienated land.</t>
        </r>
      </text>
    </comment>
    <comment ref="DH113" authorId="1">
      <text>
        <r>
          <rPr>
            <b/>
            <sz val="9"/>
            <color indexed="81"/>
            <rFont val="Tahoma"/>
            <family val="2"/>
          </rPr>
          <t>billy.tsekos:
Major barriers for implementation include high costs and capacity constraints</t>
        </r>
        <r>
          <rPr>
            <sz val="9"/>
            <color indexed="81"/>
            <rFont val="Tahoma"/>
            <family val="2"/>
          </rPr>
          <t xml:space="preserve">
Malaysia has a long forest management history. However, there are some areas of forest that have been degraded due to past management effects. Restoration and rehabilitation of these forests incurs high cost and nurturing. Furthermore, the advent of climate change has also highlighted another legacy in forest management, that is, the drained peatlands. In the
1960s and 70s, peatlands were considered a wasteland and draining was considered an effective rehabilitation to improve the productivity. Some of these drained peatlands are now unmanaged and are susceptible to wildfires during the dry seasons. It is also expensive to “re-wet” these areas. </t>
        </r>
      </text>
    </comment>
    <comment ref="DL113" authorId="1">
      <text>
        <r>
          <rPr>
            <b/>
            <sz val="9"/>
            <color indexed="81"/>
            <rFont val="Tahoma"/>
            <family val="2"/>
          </rPr>
          <t>billy.tsekos:</t>
        </r>
        <r>
          <rPr>
            <sz val="9"/>
            <color indexed="81"/>
            <rFont val="Tahoma"/>
            <family val="2"/>
          </rPr>
          <t xml:space="preserve">
Over the past five decades, positive trends in temperature increase have been observed in Malaysia. The surface mean temperature increase is around 0.14°C to 0.25°C per decade. The surface maximum temperature increase is around 0.17°C to 0.22°C per decade, and the surface minimum temperature increase is around 0.20°C to 0.32°C per decade. Realising adaptation to climate change is required to build resilience, Malaysia has taken early actions to mainstream adaptation to climate change into development. During the Tenth Malaysia Plan, Malaysia spent RM51 billion to enhance resilience against climate change. A national adaptation plan would be developed to provide greater coordinated implementation.</t>
        </r>
      </text>
    </comment>
    <comment ref="DM113" authorId="1">
      <text>
        <r>
          <rPr>
            <b/>
            <sz val="9"/>
            <color indexed="81"/>
            <rFont val="Tahoma"/>
            <family val="2"/>
          </rPr>
          <t>billy.tsekos:</t>
        </r>
        <r>
          <rPr>
            <sz val="9"/>
            <color indexed="81"/>
            <rFont val="Tahoma"/>
            <family val="2"/>
          </rPr>
          <t xml:space="preserve">
</t>
        </r>
        <r>
          <rPr>
            <b/>
            <sz val="9"/>
            <color indexed="81"/>
            <rFont val="Tahoma"/>
            <family val="2"/>
          </rPr>
          <t>Base year: 2005</t>
        </r>
        <r>
          <rPr>
            <sz val="9"/>
            <color indexed="81"/>
            <rFont val="Tahoma"/>
            <family val="2"/>
          </rPr>
          <t xml:space="preserve">
 Emissions in the base year: 288,663 Gg CO2eq
* Emissions in the base year includes emissions from land use, land use change and forestry (LULUCF) which have been estimated at 25,667Gg CO2eq respectively,
 GDP in the base year (constant price at 2005): RM 543.578 billion
 Emissions intensity of GDP in the base year: 0.531 tons CO2eq per thousand RM </t>
        </r>
      </text>
    </comment>
    <comment ref="DN113" authorId="1">
      <text>
        <r>
          <rPr>
            <b/>
            <sz val="9"/>
            <color indexed="81"/>
            <rFont val="Tahoma"/>
            <family val="2"/>
          </rPr>
          <t>billy.tsekos:</t>
        </r>
        <r>
          <rPr>
            <sz val="9"/>
            <color indexed="81"/>
            <rFont val="Tahoma"/>
            <family val="2"/>
          </rPr>
          <t xml:space="preserve">
Malaysia’s total GHG emissions represent about 0.6% of global emissions in 2011. The emission intensity per GDP was 0.41 tCO2eq/RM1000 for that year. This represents a reduction of about 23 % from 2005 values. </t>
        </r>
        <r>
          <rPr>
            <b/>
            <sz val="9"/>
            <color indexed="81"/>
            <rFont val="Tahoma"/>
            <family val="2"/>
          </rPr>
          <t>The total GHG emissions including removals by LULUCF sinks is about 0.05% of global emissions.</t>
        </r>
      </text>
    </comment>
    <comment ref="ER113" authorId="0">
      <text>
        <r>
          <rPr>
            <sz val="9"/>
            <color indexed="81"/>
            <rFont val="Tahoma"/>
            <family val="2"/>
          </rPr>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r>
      </text>
    </comment>
    <comment ref="Z114" authorId="1">
      <text>
        <r>
          <rPr>
            <b/>
            <sz val="9"/>
            <color indexed="81"/>
            <rFont val="Tahoma"/>
            <family val="2"/>
          </rPr>
          <t>billy.tsekos:</t>
        </r>
        <r>
          <rPr>
            <sz val="9"/>
            <color indexed="81"/>
            <rFont val="Tahoma"/>
            <family val="2"/>
          </rPr>
          <t xml:space="preserve">
</t>
        </r>
        <r>
          <rPr>
            <b/>
            <sz val="9"/>
            <color indexed="81"/>
            <rFont val="Tahoma"/>
            <family val="2"/>
          </rPr>
          <t>NR-P.21:</t>
        </r>
        <r>
          <rPr>
            <sz val="9"/>
            <color indexed="81"/>
            <rFont val="Tahoma"/>
            <family val="2"/>
          </rPr>
          <t xml:space="preserve"> There are at least 75 islands with wetland or mangroves in the Maldives (Annex II). The wetland or mangrove areas cover a total area of approximately 8.01 km2 (Ministry of Planning and National Development, 2007). </t>
        </r>
      </text>
    </comment>
    <comment ref="AV114" authorId="1">
      <text>
        <r>
          <rPr>
            <b/>
            <sz val="9"/>
            <color indexed="81"/>
            <rFont val="Tahoma"/>
            <family val="2"/>
          </rPr>
          <t xml:space="preserve">billy.tsekos:
NR-P.51:Target 5:
</t>
        </r>
        <r>
          <rPr>
            <sz val="9"/>
            <color indexed="81"/>
            <rFont val="Tahoma"/>
            <family val="2"/>
          </rPr>
          <t xml:space="preserve">*Reduced availability of bait fish causing negative impact on tuna fishery, and as a result, on food security.
* Reduced reef fisheries, with implications on livelihoods of families dependent on reef fishery.
* Impact on tourism caused by decrease in reef fish available for tourist resorts.
* Decline in aesthetic value of coral reef would have implications on diving and snorkelling resulting in impacts on tourism and the national economy
</t>
        </r>
        <r>
          <rPr>
            <b/>
            <sz val="9"/>
            <color indexed="81"/>
            <rFont val="Tahoma"/>
            <family val="2"/>
          </rPr>
          <t xml:space="preserve">
NR-P.52:Target 15:
</t>
        </r>
        <r>
          <rPr>
            <sz val="9"/>
            <color indexed="81"/>
            <rFont val="Tahoma"/>
            <family val="2"/>
          </rPr>
          <t>*Loss of species with implication for human health due to loss of medicinal plants.
* Loss of mature trees makes islands warmer and cause human health issues</t>
        </r>
      </text>
    </comment>
    <comment ref="BA114" authorId="0">
      <text>
        <r>
          <rPr>
            <b/>
            <sz val="9"/>
            <color indexed="81"/>
            <rFont val="Tahoma"/>
            <family val="2"/>
          </rPr>
          <t xml:space="preserve">(NBSAP- P.30) </t>
        </r>
        <r>
          <rPr>
            <sz val="9"/>
            <color indexed="81"/>
            <rFont val="Tahoma"/>
            <family val="2"/>
          </rPr>
          <t>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r>
      </text>
    </comment>
    <comment ref="BD114" authorId="1">
      <text>
        <r>
          <rPr>
            <b/>
            <sz val="9"/>
            <color indexed="81"/>
            <rFont val="Tahoma"/>
            <family val="2"/>
          </rPr>
          <t>billy.tsekos:</t>
        </r>
        <r>
          <rPr>
            <sz val="9"/>
            <color indexed="81"/>
            <rFont val="Tahoma"/>
            <family val="2"/>
          </rPr>
          <t xml:space="preserve">
2025</t>
        </r>
      </text>
    </comment>
    <comment ref="BE114" authorId="1">
      <text>
        <r>
          <rPr>
            <b/>
            <sz val="9"/>
            <color indexed="81"/>
            <rFont val="Tahoma"/>
            <family val="2"/>
          </rPr>
          <t>billy.tsekos:
NBSAP-P.33:</t>
        </r>
        <r>
          <rPr>
            <sz val="9"/>
            <color indexed="81"/>
            <rFont val="Tahoma"/>
            <family val="2"/>
          </rPr>
          <t xml:space="preserve">
* Land use plans of islands
* 5 th National Report on Biodiversity
</t>
        </r>
      </text>
    </comment>
    <comment ref="BH114" authorId="1">
      <text>
        <r>
          <rPr>
            <b/>
            <sz val="9"/>
            <color indexed="81"/>
            <rFont val="Tahoma"/>
            <family val="2"/>
          </rPr>
          <t>billy.tsekos:</t>
        </r>
        <r>
          <rPr>
            <sz val="9"/>
            <color indexed="81"/>
            <rFont val="Tahoma"/>
            <family val="2"/>
          </rPr>
          <t xml:space="preserve">
</t>
        </r>
        <r>
          <rPr>
            <b/>
            <sz val="9"/>
            <color indexed="81"/>
            <rFont val="Tahoma"/>
            <family val="2"/>
          </rPr>
          <t xml:space="preserve">NR-P.48: </t>
        </r>
        <r>
          <rPr>
            <sz val="9"/>
            <color indexed="81"/>
            <rFont val="Tahoma"/>
            <family val="2"/>
          </rPr>
          <t>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t>
        </r>
      </text>
    </comment>
    <comment ref="BI114" authorId="1">
      <text>
        <r>
          <rPr>
            <b/>
            <sz val="9"/>
            <color indexed="81"/>
            <rFont val="Tahoma"/>
            <family val="2"/>
          </rPr>
          <t>billy.tsekos:</t>
        </r>
        <r>
          <rPr>
            <sz val="9"/>
            <color indexed="81"/>
            <rFont val="Tahoma"/>
            <family val="2"/>
          </rPr>
          <t xml:space="preserve">
</t>
        </r>
        <r>
          <rPr>
            <b/>
            <sz val="9"/>
            <color indexed="81"/>
            <rFont val="Tahoma"/>
            <family val="2"/>
          </rPr>
          <t xml:space="preserve">(NBSAP- P.29: </t>
        </r>
        <r>
          <rPr>
            <sz val="9"/>
            <color indexed="81"/>
            <rFont val="Tahoma"/>
            <family val="2"/>
          </rPr>
          <t>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r>
      </text>
    </comment>
    <comment ref="BP114" authorId="1">
      <text>
        <r>
          <rPr>
            <b/>
            <sz val="9"/>
            <color indexed="81"/>
            <rFont val="Tahoma"/>
            <family val="2"/>
          </rPr>
          <t>billy.tsekos:</t>
        </r>
        <r>
          <rPr>
            <sz val="9"/>
            <color indexed="81"/>
            <rFont val="Tahoma"/>
            <family val="2"/>
          </rPr>
          <t xml:space="preserve">
</t>
        </r>
        <r>
          <rPr>
            <b/>
            <sz val="9"/>
            <color indexed="81"/>
            <rFont val="Tahoma"/>
            <family val="2"/>
          </rPr>
          <t xml:space="preserve">NR- P.82: </t>
        </r>
        <r>
          <rPr>
            <sz val="9"/>
            <color indexed="81"/>
            <rFont val="Tahoma"/>
            <family val="2"/>
          </rPr>
          <t xml:space="preserve">Mangrove restoration projects under  Global Environment Facility (GEF) small grant and Mangroves For the Future small grant implemented
</t>
        </r>
        <r>
          <rPr>
            <b/>
            <sz val="9"/>
            <color indexed="81"/>
            <rFont val="Tahoma"/>
            <family val="2"/>
          </rPr>
          <t xml:space="preserve">NBSAP- P.32: </t>
        </r>
        <r>
          <rPr>
            <sz val="9"/>
            <color indexed="81"/>
            <rFont val="Tahoma"/>
            <family val="2"/>
          </rPr>
          <t xml:space="preserve">Conduct programmes to restore essential ecosystems through addressing pressures, restoration, and providing alternative solutions to prevent destruction and overuse. </t>
        </r>
      </text>
    </comment>
    <comment ref="BX114" authorId="1">
      <text>
        <r>
          <rPr>
            <b/>
            <sz val="9"/>
            <color indexed="81"/>
            <rFont val="Tahoma"/>
            <family val="2"/>
          </rPr>
          <t>billy.tsekos:</t>
        </r>
        <r>
          <rPr>
            <sz val="9"/>
            <color indexed="81"/>
            <rFont val="Tahoma"/>
            <family val="2"/>
          </rPr>
          <t xml:space="preserve">
</t>
        </r>
        <r>
          <rPr>
            <b/>
            <sz val="9"/>
            <color indexed="81"/>
            <rFont val="Tahoma"/>
            <family val="2"/>
          </rPr>
          <t xml:space="preserve">NR-P.48: </t>
        </r>
        <r>
          <rPr>
            <sz val="9"/>
            <color indexed="81"/>
            <rFont val="Tahoma"/>
            <family val="2"/>
          </rPr>
          <t xml:space="preserve">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
</t>
        </r>
        <r>
          <rPr>
            <b/>
            <sz val="9"/>
            <color indexed="81"/>
            <rFont val="Tahoma"/>
            <family val="2"/>
          </rPr>
          <t xml:space="preserve">
NR-P.51:Target 5:</t>
        </r>
        <r>
          <rPr>
            <sz val="9"/>
            <color indexed="81"/>
            <rFont val="Tahoma"/>
            <family val="2"/>
          </rPr>
          <t xml:space="preserve">
* Increase in population and high population density in small islands creates need for land reclamation and dredging.
* Fragmentation of habitats.
* Climate change and ocean acidification.
* Coral bleaching
</t>
        </r>
        <r>
          <rPr>
            <b/>
            <sz val="9"/>
            <color indexed="81"/>
            <rFont val="Tahoma"/>
            <family val="2"/>
          </rPr>
          <t>NR-P.52:Target 15:</t>
        </r>
        <r>
          <rPr>
            <sz val="9"/>
            <color indexed="81"/>
            <rFont val="Tahoma"/>
            <family val="2"/>
          </rPr>
          <t xml:space="preserve">The vegetation cover in the islands is in decline due to land clearance for housing development, agriculture, and development of recreational facilities such as football grounds. Few vegetation restoration projects exist.
</t>
        </r>
        <r>
          <rPr>
            <b/>
            <sz val="9"/>
            <color indexed="81"/>
            <rFont val="Tahoma"/>
            <family val="2"/>
          </rPr>
          <t xml:space="preserve">
NBSAP-P.11</t>
        </r>
        <r>
          <rPr>
            <sz val="9"/>
            <color indexed="81"/>
            <rFont val="Tahoma"/>
            <family val="2"/>
          </rPr>
          <t xml:space="preserve">The demand for land, modern infrastructure and economic growth has been increasing with the increase in population. To cater this demand, hasty actions often coupled with lack of alternative solutions have resulted in the destruction of habitat and species both in land and sea. It also results in increase in pollution due to introduction of chemicals and nonbiodegradable waste. Finding the right alternatives and addressing the demands of development in a sustainable manner has then become a challenge. Additionally, the lack of knowledge, capacity and resources to address issues related to alien species and illegal trade of biodiversity remains a challenge. 
</t>
        </r>
        <r>
          <rPr>
            <b/>
            <sz val="9"/>
            <color indexed="81"/>
            <rFont val="Tahoma"/>
            <family val="2"/>
          </rPr>
          <t>NR-P.48:</t>
        </r>
        <r>
          <rPr>
            <sz val="9"/>
            <color indexed="81"/>
            <rFont val="Tahoma"/>
            <family val="2"/>
          </rPr>
          <t xml:space="preserve"> 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t>
        </r>
      </text>
    </comment>
    <comment ref="CC114" authorId="1">
      <text>
        <r>
          <rPr>
            <b/>
            <sz val="9"/>
            <color indexed="81"/>
            <rFont val="Tahoma"/>
            <family val="2"/>
          </rPr>
          <t>billy.tsekos:</t>
        </r>
        <r>
          <rPr>
            <sz val="9"/>
            <color indexed="81"/>
            <rFont val="Tahoma"/>
            <family val="2"/>
          </rPr>
          <t xml:space="preserve">
The NATIONAL ENVIRONMENT ACTION PLAN III (2009-2013) was launched in 2009 after government agencies worked together for nearly two years to agree on the key actions necessary to protect the fragile environment of the Maldives. Six results and corresponding goals and targets that all the government agencies would work together to achieve are set out in NEAP III. There are six goals for biodiversity conservation set out in NEAP III (2009):
</t>
        </r>
        <r>
          <rPr>
            <b/>
            <sz val="9"/>
            <color indexed="81"/>
            <rFont val="Tahoma"/>
            <family val="2"/>
          </rPr>
          <t>Goal 11:</t>
        </r>
        <r>
          <rPr>
            <sz val="9"/>
            <color indexed="81"/>
            <rFont val="Tahoma"/>
            <family val="2"/>
          </rPr>
          <t xml:space="preserve">
Protect and restore vegetation, terrestrial ecosystems and islands.
</t>
        </r>
        <r>
          <rPr>
            <b/>
            <sz val="9"/>
            <color indexed="81"/>
            <rFont val="Tahoma"/>
            <family val="2"/>
          </rPr>
          <t xml:space="preserve">11.1: </t>
        </r>
        <r>
          <rPr>
            <sz val="9"/>
            <color indexed="81"/>
            <rFont val="Tahoma"/>
            <family val="2"/>
          </rPr>
          <t xml:space="preserve">Reverse the decline in natural vegetation, ecological communities and the ecosystem services they provide.
</t>
        </r>
        <r>
          <rPr>
            <b/>
            <sz val="9"/>
            <color indexed="81"/>
            <rFont val="Tahoma"/>
            <family val="2"/>
          </rPr>
          <t>11. 2:</t>
        </r>
        <r>
          <rPr>
            <sz val="9"/>
            <color indexed="81"/>
            <rFont val="Tahoma"/>
            <family val="2"/>
          </rPr>
          <t xml:space="preserve"> Protect a representative sample of the islands of the Maldives and their terrestrial ecosystems.
</t>
        </r>
        <r>
          <rPr>
            <b/>
            <sz val="9"/>
            <color indexed="81"/>
            <rFont val="Tahoma"/>
            <family val="2"/>
          </rPr>
          <t>11.3:</t>
        </r>
        <r>
          <rPr>
            <sz val="9"/>
            <color indexed="81"/>
            <rFont val="Tahoma"/>
            <family val="2"/>
          </rPr>
          <t xml:space="preserve"> Protect threatened species and ecological communities.
</t>
        </r>
        <r>
          <rPr>
            <b/>
            <sz val="9"/>
            <color indexed="81"/>
            <rFont val="Tahoma"/>
            <family val="2"/>
          </rPr>
          <t>Goal 12:</t>
        </r>
        <r>
          <rPr>
            <sz val="9"/>
            <color indexed="81"/>
            <rFont val="Tahoma"/>
            <family val="2"/>
          </rPr>
          <t xml:space="preserve">
Protect and restore wetlands and mangrove ecosystems.
</t>
        </r>
        <r>
          <rPr>
            <b/>
            <sz val="9"/>
            <color indexed="81"/>
            <rFont val="Tahoma"/>
            <family val="2"/>
          </rPr>
          <t>12.1:</t>
        </r>
        <r>
          <rPr>
            <sz val="9"/>
            <color indexed="81"/>
            <rFont val="Tahoma"/>
            <family val="2"/>
          </rPr>
          <t xml:space="preserve"> Manage threats, prevent degradation and maintain the ecological character of the nationally significant wetland dependent, water dependent and mangrove ecosystems.
</t>
        </r>
        <r>
          <rPr>
            <b/>
            <sz val="9"/>
            <color indexed="81"/>
            <rFont val="Tahoma"/>
            <family val="2"/>
          </rPr>
          <t xml:space="preserve">12.2: </t>
        </r>
        <r>
          <rPr>
            <sz val="9"/>
            <color indexed="81"/>
            <rFont val="Tahoma"/>
            <family val="2"/>
          </rPr>
          <t>Protect significant habitats for migratory water-bird</t>
        </r>
      </text>
    </comment>
    <comment ref="CP114"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 xml:space="preserve">One of the major challenges in building resilience to climate change is the Lack of information. Enough information could drive new and effective ways of building resilience of coral reef ecosystems to climate change. </t>
        </r>
      </text>
    </comment>
    <comment ref="CQ114" authorId="1">
      <text>
        <r>
          <rPr>
            <b/>
            <sz val="9"/>
            <color indexed="81"/>
            <rFont val="Tahoma"/>
            <family val="2"/>
          </rPr>
          <t>billy.tsekos:
NR-P.59:</t>
        </r>
        <r>
          <rPr>
            <sz val="9"/>
            <color indexed="81"/>
            <rFont val="Tahoma"/>
            <family val="2"/>
          </rPr>
          <t xml:space="preserve">
</t>
        </r>
        <r>
          <rPr>
            <b/>
            <sz val="9"/>
            <color indexed="81"/>
            <rFont val="Tahoma"/>
            <family val="2"/>
          </rPr>
          <t>Strategy 2.5 of the tourism master plan</t>
        </r>
        <r>
          <rPr>
            <sz val="9"/>
            <color indexed="81"/>
            <rFont val="Tahoma"/>
            <family val="2"/>
          </rPr>
          <t xml:space="preserve">
Implementing climate change adaptation programme for tourism industry.
</t>
        </r>
        <r>
          <rPr>
            <b/>
            <sz val="9"/>
            <color indexed="81"/>
            <rFont val="Tahoma"/>
            <family val="2"/>
          </rPr>
          <t>Action 2.5.1.</t>
        </r>
        <r>
          <rPr>
            <sz val="9"/>
            <color indexed="81"/>
            <rFont val="Tahoma"/>
            <family val="2"/>
          </rPr>
          <t xml:space="preserve">
Initiate a national programme of long-term climate change adaptation in the
tourism sector.
</t>
        </r>
        <r>
          <rPr>
            <b/>
            <sz val="9"/>
            <color indexed="81"/>
            <rFont val="Tahoma"/>
            <family val="2"/>
          </rPr>
          <t xml:space="preserve">
NBSAP-P.29: </t>
        </r>
        <r>
          <rPr>
            <sz val="9"/>
            <color indexed="81"/>
            <rFont val="Tahoma"/>
            <family val="2"/>
          </rPr>
          <t>The aim of this target is to reduce anthropogenic and climate change pressures on biodiversity and to create balance between anthropogenic activities and conservation.
The most vulnerable ecosystems probably are those with most human intervention
such as the terrestrial, reef and mangrove ecosystems</t>
        </r>
      </text>
    </comment>
    <comment ref="CW114" authorId="1">
      <text>
        <r>
          <rPr>
            <b/>
            <sz val="9"/>
            <color indexed="81"/>
            <rFont val="Tahoma"/>
            <family val="2"/>
          </rPr>
          <t>billy.tsekos:</t>
        </r>
        <r>
          <rPr>
            <sz val="9"/>
            <color indexed="81"/>
            <rFont val="Tahoma"/>
            <family val="2"/>
          </rPr>
          <t xml:space="preserve">
Main focus is on Marine Protected Areas (MPAs)</t>
        </r>
      </text>
    </comment>
    <comment ref="H115" authorId="2">
      <text>
        <r>
          <rPr>
            <b/>
            <sz val="9"/>
            <color indexed="81"/>
            <rFont val="Calibri"/>
            <family val="2"/>
          </rPr>
          <t>Billy Tsekos:</t>
        </r>
        <r>
          <rPr>
            <sz val="9"/>
            <color indexed="81"/>
            <rFont val="Calibri"/>
            <family val="2"/>
          </rPr>
          <t xml:space="preserve">
2015</t>
        </r>
      </text>
    </comment>
    <comment ref="W115" authorId="2">
      <text>
        <r>
          <rPr>
            <b/>
            <sz val="9"/>
            <color indexed="81"/>
            <rFont val="Tahoma"/>
            <family val="2"/>
          </rPr>
          <t>Billy Tsekos:</t>
        </r>
        <r>
          <rPr>
            <sz val="9"/>
            <color indexed="81"/>
            <rFont val="Tahoma"/>
            <family val="2"/>
          </rPr>
          <t xml:space="preserve">
La plantation forestière est une activité importante au Mali marquée par une forte progression des superficies  reboisées. Entre 2007 et 2014, les superficies plantées ont passé de 9 079 hectares à 80 387 hectares, soit une  multiplication par 9. </t>
        </r>
      </text>
    </comment>
    <comment ref="Z115" authorId="2">
      <text>
        <r>
          <rPr>
            <b/>
            <sz val="9"/>
            <color indexed="81"/>
            <rFont val="Tahoma"/>
            <family val="2"/>
          </rPr>
          <t>Billy Tsekos:</t>
        </r>
        <r>
          <rPr>
            <sz val="9"/>
            <color indexed="81"/>
            <rFont val="Tahoma"/>
            <family val="2"/>
          </rPr>
          <t xml:space="preserve">
</t>
        </r>
        <r>
          <rPr>
            <b/>
            <sz val="9"/>
            <color indexed="81"/>
            <rFont val="Tahoma"/>
            <family val="2"/>
          </rPr>
          <t>NR-P.6:</t>
        </r>
        <r>
          <rPr>
            <sz val="9"/>
            <color indexed="81"/>
            <rFont val="Tahoma"/>
            <family val="2"/>
          </rPr>
          <t xml:space="preserve"> Les formations forestières sont caractéristiques des différentes zones bioclimatiques :
</t>
        </r>
        <r>
          <rPr>
            <b/>
            <sz val="9"/>
            <color indexed="81"/>
            <rFont val="Tahoma"/>
            <family val="2"/>
          </rPr>
          <t>la zone hyper aride</t>
        </r>
        <r>
          <rPr>
            <sz val="9"/>
            <color indexed="81"/>
            <rFont val="Tahoma"/>
            <family val="2"/>
          </rPr>
          <t xml:space="preserve">, caractérisée par des précipitations annuelles de moins de 200 mm, 
</t>
        </r>
        <r>
          <rPr>
            <b/>
            <sz val="9"/>
            <color indexed="81"/>
            <rFont val="Tahoma"/>
            <family val="2"/>
          </rPr>
          <t>la zone aride</t>
        </r>
        <r>
          <rPr>
            <sz val="9"/>
            <color indexed="81"/>
            <rFont val="Tahoma"/>
            <family val="2"/>
          </rPr>
          <t xml:space="preserve"> qui reçoit annuellement 200 à 600 mm de pluies et couvre
320 000 km² représentant 26% du territoire national. Le delta intérieur du fleuve
Niger, annuellement inondé constitue un écosystème particulier.
</t>
        </r>
        <r>
          <rPr>
            <b/>
            <sz val="9"/>
            <color indexed="81"/>
            <rFont val="Tahoma"/>
            <family val="2"/>
          </rPr>
          <t xml:space="preserve"> La zone semi-aride </t>
        </r>
        <r>
          <rPr>
            <sz val="9"/>
            <color indexed="81"/>
            <rFont val="Tahoma"/>
            <family val="2"/>
          </rPr>
          <t xml:space="preserve">avec 215 000 km² représente 24% du territoire national. Elle reçoit en moyenne 600 à 1200 mm de pluies. Elle constituée d’une mosaïque de savanes qui renferment par endroits des forêts claires et des forêts galeries. Les productions ligneuses varient de 10 à 80 m3
/ha. Les espèces dominantes sont : Vittelaria paradoxa, Khaya senegalensis, Bombax costatum et Isoberlinia doka. Les formations naturelles y sont bien conservées. 
</t>
        </r>
        <r>
          <rPr>
            <b/>
            <sz val="9"/>
            <color indexed="81"/>
            <rFont val="Tahoma"/>
            <family val="2"/>
          </rPr>
          <t xml:space="preserve"> La zone subhumide </t>
        </r>
        <r>
          <rPr>
            <sz val="9"/>
            <color indexed="81"/>
            <rFont val="Tahoma"/>
            <family val="2"/>
          </rPr>
          <t xml:space="preserve">avec 75 000 km², représente 6% de la superficie totale du pays avec des précipitations annuelles moyennes dépassant les 1200 mm.
</t>
        </r>
        <r>
          <rPr>
            <b/>
            <sz val="9"/>
            <color indexed="81"/>
            <rFont val="Tahoma"/>
            <family val="2"/>
          </rPr>
          <t>NR-P.26:</t>
        </r>
        <r>
          <rPr>
            <sz val="9"/>
            <color indexed="81"/>
            <rFont val="Tahoma"/>
            <family val="2"/>
          </rPr>
          <t xml:space="preserve"> Tableau 5: Principales catégories administratives de forêts au sud de la
zone saharienne 
</t>
        </r>
      </text>
    </comment>
    <comment ref="AH115" authorId="2">
      <text>
        <r>
          <rPr>
            <b/>
            <sz val="9"/>
            <color indexed="81"/>
            <rFont val="Tahoma"/>
            <family val="2"/>
          </rPr>
          <t>Billy Tsekos:</t>
        </r>
        <r>
          <rPr>
            <sz val="9"/>
            <color indexed="81"/>
            <rFont val="Tahoma"/>
            <family val="2"/>
          </rPr>
          <t xml:space="preserve">
</t>
        </r>
        <r>
          <rPr>
            <b/>
            <sz val="9"/>
            <color indexed="81"/>
            <rFont val="Tahoma"/>
            <family val="2"/>
          </rPr>
          <t xml:space="preserve">NBSAP-P.48: </t>
        </r>
        <r>
          <rPr>
            <sz val="9"/>
            <color indexed="81"/>
            <rFont val="Tahoma"/>
            <family val="2"/>
          </rPr>
          <t xml:space="preserve">Avec un taux annuel d’accroissement de 3,2%, on estime à plus de 100 000 ha, les superficies de formations naturelles, défrichées chaque année pour faire face à l’augmentation des seuls besoins alimentaires. La superficie agricole augmenterait en moyenne de 4,7%/an contribuant à une forte réduction des formations naturelles. (figure)
</t>
        </r>
        <r>
          <rPr>
            <b/>
            <sz val="9"/>
            <color indexed="81"/>
            <rFont val="Tahoma"/>
            <family val="2"/>
          </rPr>
          <t xml:space="preserve">
NBSAP-P.74:</t>
        </r>
        <r>
          <rPr>
            <sz val="9"/>
            <color indexed="81"/>
            <rFont val="Tahoma"/>
            <family val="2"/>
          </rPr>
          <t xml:space="preserve"> L’analyse montre une nette augmentation des superficies des zones forestières au Mali sur la période 2006-2010. De 992 2410 hectares en 2006, la superficie est passée à 13 389 910 hectares en 2010 (MEA-DNEF_Rapport annuel_2010) soit une hausse de 34,9%. 
</t>
        </r>
      </text>
    </comment>
    <comment ref="AO115" authorId="2">
      <text>
        <r>
          <rPr>
            <b/>
            <sz val="9"/>
            <color indexed="81"/>
            <rFont val="Tahoma"/>
            <family val="2"/>
          </rPr>
          <t>Billy Tsekos:</t>
        </r>
        <r>
          <rPr>
            <sz val="9"/>
            <color indexed="81"/>
            <rFont val="Tahoma"/>
            <family val="2"/>
          </rPr>
          <t xml:space="preserve">
</t>
        </r>
        <r>
          <rPr>
            <b/>
            <sz val="9"/>
            <color indexed="81"/>
            <rFont val="Tahoma"/>
            <family val="2"/>
          </rPr>
          <t xml:space="preserve">NR-P.39: </t>
        </r>
        <r>
          <rPr>
            <sz val="9"/>
            <color indexed="81"/>
            <rFont val="Tahoma"/>
            <family val="2"/>
          </rPr>
          <t>Selon les estimations de l’An 2000, près de 7 millions de tonnes de bois-énergie en total équivalent bois sont prélevées du domaine forestier chaque année à des fins énergétiques. Ceci correspond à un déboisement de près de 600 000 ha équivalent au potentiel annuel de régénération.</t>
        </r>
      </text>
    </comment>
    <comment ref="AV115" authorId="2">
      <text>
        <r>
          <rPr>
            <b/>
            <sz val="9"/>
            <color indexed="81"/>
            <rFont val="Tahoma"/>
            <family val="2"/>
          </rPr>
          <t xml:space="preserve">Billy Tsekos:
</t>
        </r>
        <r>
          <rPr>
            <sz val="9"/>
            <color indexed="81"/>
            <rFont val="Tahoma"/>
            <family val="2"/>
          </rPr>
          <t xml:space="preserve">
</t>
        </r>
        <r>
          <rPr>
            <b/>
            <sz val="9"/>
            <color indexed="81"/>
            <rFont val="Tahoma"/>
            <family val="2"/>
          </rPr>
          <t>NR-P.30:</t>
        </r>
        <r>
          <rPr>
            <sz val="9"/>
            <color indexed="81"/>
            <rFont val="Tahoma"/>
            <family val="2"/>
          </rPr>
          <t xml:space="preserve"> Parallèlement la demande en bois de chauffe qui est la principale source d’énergie, augmenter si le niveau élevé de fécondité se maintient. La demande de bois de chauffe s’élevait en 2002 à 9,129 millions de tonnes. Elle passera à 19,871 millions de tonnes en 2022. Cela correspondrait à une superficie forestière de 3.784.981 ha soit 2,2 fois supérieure à la superficie déboisée en 2002. Sur la période 2002-2022, le pays détruira une superficie forestière d’environ 13,255 millions d’hectares. La forêt naturelle ne pourra pas satisfaire longtemps cette demande en bois de chauffe (République du Mali 2003a : 25). Il est à noter que les zones forestières au Mali sont passées de 11,5 pourcent de la superficie totale du pays en 1990 à 10,3 pourcent en 2005. 
</t>
        </r>
      </text>
    </comment>
    <comment ref="BA115" authorId="0">
      <text>
        <r>
          <rPr>
            <b/>
            <sz val="9"/>
            <color indexed="81"/>
            <rFont val="Tahoma"/>
            <family val="2"/>
          </rPr>
          <t>NBSAP-P.75</t>
        </r>
        <r>
          <rPr>
            <sz val="9"/>
            <color indexed="81"/>
            <rFont val="Tahoma"/>
            <family val="2"/>
          </rPr>
          <t xml:space="preserve">: 
</t>
        </r>
        <r>
          <rPr>
            <b/>
            <sz val="9"/>
            <color indexed="81"/>
            <rFont val="Tahoma"/>
            <family val="2"/>
          </rPr>
          <t>Objectif 5=</t>
        </r>
        <r>
          <rPr>
            <sz val="9"/>
            <color indexed="81"/>
            <rFont val="Tahoma"/>
            <family val="2"/>
          </rPr>
          <t xml:space="preserve"> D’ici à 2020, le rythme d’appauvrissement et la dégradation des habitats naturels, y compris les forêts sont réduits de moitié.</t>
        </r>
      </text>
    </comment>
    <comment ref="BC115" authorId="3">
      <text>
        <r>
          <rPr>
            <b/>
            <sz val="10"/>
            <color indexed="81"/>
            <rFont val="Calibri"/>
          </rPr>
          <t xml:space="preserve">reduits de moitie
</t>
        </r>
      </text>
    </comment>
    <comment ref="BD115" authorId="2">
      <text>
        <r>
          <rPr>
            <b/>
            <sz val="9"/>
            <color indexed="81"/>
            <rFont val="Tahoma"/>
            <family val="2"/>
          </rPr>
          <t>Billy Tsekos:</t>
        </r>
        <r>
          <rPr>
            <sz val="9"/>
            <color indexed="81"/>
            <rFont val="Tahoma"/>
            <family val="2"/>
          </rPr>
          <t xml:space="preserve">
2020</t>
        </r>
      </text>
    </comment>
    <comment ref="BH115" authorId="2">
      <text>
        <r>
          <rPr>
            <b/>
            <sz val="9"/>
            <color indexed="81"/>
            <rFont val="Tahoma"/>
            <family val="2"/>
          </rPr>
          <t>Billy Tsekos:</t>
        </r>
        <r>
          <rPr>
            <sz val="9"/>
            <color indexed="81"/>
            <rFont val="Tahoma"/>
            <family val="2"/>
          </rPr>
          <t xml:space="preserve">
</t>
        </r>
        <r>
          <rPr>
            <b/>
            <sz val="9"/>
            <color indexed="81"/>
            <rFont val="Tahoma"/>
            <family val="2"/>
          </rPr>
          <t>NBSAP-P.47:</t>
        </r>
        <r>
          <rPr>
            <sz val="9"/>
            <color indexed="81"/>
            <rFont val="Tahoma"/>
            <family val="2"/>
          </rPr>
          <t xml:space="preserve"> La fragmentation est essentiellement liée au type d’occupation des terres. Le système d’agriculture itinérante avec des cultures sur brûlis pratiquées dans plusieurs régions du pays constitue l’un des principaux facteurs de fragmentation de l’habitat de la faune. Elle se pratique aussi bien dans les bas-fonds que sur les pentes fortes de collines. L’avènement de la culture du coton a entraîné des défrichements de surfaces de plus en plus importantes. 
</t>
        </r>
      </text>
    </comment>
    <comment ref="BI115" authorId="0">
      <text>
        <r>
          <rPr>
            <b/>
            <sz val="9"/>
            <color indexed="81"/>
            <rFont val="Tahoma"/>
            <family val="2"/>
          </rPr>
          <t>NBSAP- P.96:</t>
        </r>
        <r>
          <rPr>
            <sz val="9"/>
            <color indexed="81"/>
            <rFont val="Tahoma"/>
            <family val="2"/>
          </rPr>
          <t xml:space="preserve"> 
D’ici à 2020, la faune et la flore menacées d’extinction, sont connues et des mesures sont prises pour leur préservation et leur restauration dans des zones identifiées. 
- D’ici à 2020, la résilience des écosystèmes est améliorée grâce à des mesures d’’atténuation et d’adaptation des changements climatiques et des mesures de lutte contre la désertification. 
</t>
        </r>
      </text>
    </comment>
    <comment ref="BL11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 Mener des études sur les capacités de séquestration du carbone des écosystèmes forestiers du pays;
- Mener des études sur la vulnérabilité des écosystèmes et des espèces aux changements climatiques
- Prendre en compte les changements climatiques dans tous les projets et programme dans les Aires protégées. 
-Elaborer des programmes de conservation d'espèces endémiques, rares ou
menacées de la diversité biologique </t>
        </r>
      </text>
    </comment>
    <comment ref="BP11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Restaurer par le reboisement des zones dégradées </t>
        </r>
      </text>
    </comment>
    <comment ref="BT115" authorId="2">
      <text>
        <r>
          <rPr>
            <b/>
            <sz val="9"/>
            <color indexed="81"/>
            <rFont val="Tahoma"/>
            <family val="2"/>
          </rPr>
          <t>Billy Tsekos:</t>
        </r>
        <r>
          <rPr>
            <sz val="9"/>
            <color indexed="81"/>
            <rFont val="Tahoma"/>
            <family val="2"/>
          </rPr>
          <t xml:space="preserve">
</t>
        </r>
        <r>
          <rPr>
            <b/>
            <sz val="9"/>
            <color indexed="81"/>
            <rFont val="Tahoma"/>
            <family val="2"/>
          </rPr>
          <t>5NR- p.66 :</t>
        </r>
        <r>
          <rPr>
            <sz val="9"/>
            <color indexed="81"/>
            <rFont val="Tahoma"/>
            <family val="2"/>
          </rPr>
          <t xml:space="preserve"> Depuis 2010, le Mali réalise chaque année près de 70 000 ha de reboisement travers le pays. </t>
        </r>
      </text>
    </comment>
    <comment ref="BX115" authorId="2">
      <text>
        <r>
          <rPr>
            <b/>
            <sz val="9"/>
            <color indexed="81"/>
            <rFont val="Tahoma"/>
            <family val="2"/>
          </rPr>
          <t>Billy Tsekos:</t>
        </r>
        <r>
          <rPr>
            <sz val="9"/>
            <color indexed="81"/>
            <rFont val="Tahoma"/>
            <family val="2"/>
          </rPr>
          <t xml:space="preserve">
</t>
        </r>
        <r>
          <rPr>
            <b/>
            <sz val="9"/>
            <color indexed="81"/>
            <rFont val="Tahoma"/>
            <family val="2"/>
          </rPr>
          <t>NBSAP-P.46</t>
        </r>
        <r>
          <rPr>
            <sz val="9"/>
            <color indexed="81"/>
            <rFont val="Tahoma"/>
            <family val="2"/>
          </rPr>
          <t xml:space="preserve"> Les menaces qui pèsent sur la diversité biologique au Mali sont liées : aux 
(i) changements climatiques ; 
(ii) à la fragmentation et la dégradation des habitats naturels ; 
(iii) à l’introduction d’espèces exotiques;
(iv) à l’érosion des ressources génétiques ; et 
(v) aux insuffisances des capacités institutionnelles. Ces menaces sont largement interdépendantes et se renforcent. Il est donc important de comprendre non seulement individuellement chaque menace, mais les examiner de manière holistique pour tenir compte de leur interrelation et de s'attaquer à ces menaces selon une approche multisectorielle</t>
        </r>
      </text>
    </comment>
    <comment ref="CH115" authorId="2">
      <text>
        <r>
          <rPr>
            <b/>
            <sz val="9"/>
            <color indexed="81"/>
            <rFont val="Tahoma"/>
            <family val="2"/>
          </rPr>
          <t>Billy Tsekos:</t>
        </r>
        <r>
          <rPr>
            <sz val="9"/>
            <color indexed="81"/>
            <rFont val="Tahoma"/>
            <family val="2"/>
          </rPr>
          <t xml:space="preserve">
</t>
        </r>
        <r>
          <rPr>
            <b/>
            <sz val="9"/>
            <color indexed="81"/>
            <rFont val="Tahoma"/>
            <family val="2"/>
          </rPr>
          <t>NBSAP-P.133</t>
        </r>
        <r>
          <rPr>
            <sz val="9"/>
            <color indexed="81"/>
            <rFont val="Tahoma"/>
            <family val="2"/>
          </rPr>
          <t xml:space="preserve">: Pour pouvoir se positionner sur le marché du carbone, il importe de développer une expertise nationale pour identifier, prépare et mettre sur le marché spécifique du carbone, des projets MDP.
Mécanisme REDD + : Les politiques et mesures REDD+ peuvent fournir de nouvelles ressources non négligeables pour la conservation de la diversité biologique, la gestion durable des forêts et l’amélioration des stocks de carbone terrestre. Ainsi la «séquestration de carbone» est l’absorption et l’emmagasinage par les arbres et autres plantes du carbone  émis dans l’atmosphère par la combustion de minéraux fossiles et autres activités et est l’un des éco services les plus importants fournis par les forêts. </t>
        </r>
      </text>
    </comment>
    <comment ref="CQ115" authorId="2">
      <text>
        <r>
          <rPr>
            <b/>
            <sz val="9"/>
            <color indexed="81"/>
            <rFont val="Tahoma"/>
            <family val="2"/>
          </rPr>
          <t>Billy Tsekos:
NBSAP- P.96:</t>
        </r>
        <r>
          <rPr>
            <sz val="9"/>
            <color indexed="81"/>
            <rFont val="Tahoma"/>
            <family val="2"/>
          </rPr>
          <t xml:space="preserve">
</t>
        </r>
        <r>
          <rPr>
            <b/>
            <sz val="9"/>
            <color indexed="81"/>
            <rFont val="Tahoma"/>
            <family val="2"/>
          </rPr>
          <t>Résultat 14.1:</t>
        </r>
        <r>
          <rPr>
            <sz val="9"/>
            <color indexed="81"/>
            <rFont val="Tahoma"/>
            <family val="2"/>
          </rPr>
          <t xml:space="preserve"> Les capacités d’adaptation et d’atténuation aux effets des changements climatiques sont renforcées </t>
        </r>
      </text>
    </comment>
    <comment ref="DG115" authorId="2">
      <text>
        <r>
          <rPr>
            <b/>
            <sz val="9"/>
            <color indexed="81"/>
            <rFont val="Tahoma"/>
            <family val="2"/>
          </rPr>
          <t>Billy Tsekos:</t>
        </r>
        <r>
          <rPr>
            <sz val="9"/>
            <color indexed="81"/>
            <rFont val="Tahoma"/>
            <family val="2"/>
          </rPr>
          <t xml:space="preserve">
Les niveaux des  ambitions  de  réduction  des  GES  du  scénario  d’atténuation  par  rapport au scénario de base sont de </t>
        </r>
        <r>
          <rPr>
            <b/>
            <sz val="9"/>
            <color indexed="81"/>
            <rFont val="Tahoma"/>
            <family val="2"/>
          </rPr>
          <t>29% pour l’agriculture</t>
        </r>
        <r>
          <rPr>
            <sz val="9"/>
            <color indexed="81"/>
            <rFont val="Tahoma"/>
            <family val="2"/>
          </rPr>
          <t xml:space="preserve">, 31% pour l’énergie et 21% pour les  forêts et le  changement  d’utilisation  des  terres Le  coût  global  du  scénario  d’atténuation  conditionnel  s’élève  à  34,68  milliards $US (1,16 pour l’énergie, </t>
        </r>
        <r>
          <rPr>
            <b/>
            <sz val="9"/>
            <color indexed="81"/>
            <rFont val="Tahoma"/>
            <family val="2"/>
          </rPr>
          <t>20,6 pour l’agriculture</t>
        </r>
        <r>
          <rPr>
            <sz val="9"/>
            <color indexed="81"/>
            <rFont val="Tahoma"/>
            <family val="2"/>
          </rPr>
          <t>, et 12,92 pour les forêts)</t>
        </r>
      </text>
    </comment>
    <comment ref="DJ115" authorId="2">
      <text>
        <r>
          <rPr>
            <b/>
            <sz val="9"/>
            <color indexed="81"/>
            <rFont val="Tahoma"/>
            <family val="2"/>
          </rPr>
          <t>Billy Tsekos:</t>
        </r>
        <r>
          <rPr>
            <sz val="9"/>
            <color indexed="81"/>
            <rFont val="Tahoma"/>
            <family val="2"/>
          </rPr>
          <t xml:space="preserve">
Les niveaux des  ambitions  de  réduction  des  GES  du  scénario  d’atténuation  par 
rapport au scénario de base sont de 29% pour l’agriculture, 31% pour l’énergie et </t>
        </r>
        <r>
          <rPr>
            <b/>
            <sz val="9"/>
            <color indexed="81"/>
            <rFont val="Tahoma"/>
            <family val="2"/>
          </rPr>
          <t>21% pour les  forêts et le  changement  d’utilisation  des  terres</t>
        </r>
        <r>
          <rPr>
            <sz val="9"/>
            <color indexed="81"/>
            <rFont val="Tahoma"/>
            <family val="2"/>
          </rPr>
          <t xml:space="preserve"> Le  coût  global  du  scénario  d’atténuation  conditionnel  s’élève  à  34,68  milliards $US (1,16 pour l’énergie, 20,6 pour l’agriculture, et </t>
        </r>
        <r>
          <rPr>
            <b/>
            <sz val="9"/>
            <color indexed="81"/>
            <rFont val="Tahoma"/>
            <family val="2"/>
          </rPr>
          <t>12,92 pour les forêts)</t>
        </r>
      </text>
    </comment>
    <comment ref="DK115" authorId="2">
      <text>
        <r>
          <rPr>
            <b/>
            <sz val="9"/>
            <color indexed="81"/>
            <rFont val="Tahoma"/>
            <family val="2"/>
          </rPr>
          <t>Billy Tsekos:</t>
        </r>
        <r>
          <rPr>
            <sz val="9"/>
            <color indexed="81"/>
            <rFont val="Tahoma"/>
            <family val="2"/>
          </rPr>
          <t xml:space="preserve">
Le scénario de base  est mis en œuvre par des plantations forestières pour un coût total entre 2015  et 2030 de 1 229 millions $US Le scénario d’atténuation conditionnel est mis en œuvre par les mesures suivantes :
- Plantations forestières pour un coût de 10 719 millions $US
- Régénération naturelle assistée pour un coût de 1 531 millions $US
- Gestion des forêts classées et  des aires protégées pour un coût de 670 millions $US</t>
        </r>
      </text>
    </comment>
    <comment ref="DL115" authorId="2">
      <text>
        <r>
          <rPr>
            <b/>
            <sz val="9"/>
            <color indexed="81"/>
            <rFont val="Tahoma"/>
            <family val="2"/>
          </rPr>
          <t>Billy Tsekos:</t>
        </r>
        <r>
          <rPr>
            <sz val="9"/>
            <color indexed="81"/>
            <rFont val="Tahoma"/>
            <family val="2"/>
          </rPr>
          <t xml:space="preserve">
- de l’aménagement forestier pour la restauration des écosystèmes dégradés visant à reboiser  325.000  hectares,  promouvoir  la  régénération  naturelle  assistée  et  la  lutte  contre  l’ensablement et renforcer la protection des aires protégées sur 9 millions d’hectares.
-  du développement  d’une agriculture  intelligente et  résiliente aux  changements  climatiques,  pour l’aménagement hydro-agricole de 92,000 ha dans le contexte d’une gestion durable des  terres avec l’engagement de l’Etat à consacrer 15% du Budget national à l’agriculture ;
- de l’aménagement pastoral résilient aux changements climatiques visant la matérialisation de  3,300 km d’axes de transhumance afin de réduire les conflits entre agriculteurs et éleveurs, la  réalisation de 21 périmètres et aires pastorales d’une superficie totale de 400.000 ha ;</t>
        </r>
      </text>
    </comment>
    <comment ref="DM115" authorId="2">
      <text>
        <r>
          <rPr>
            <b/>
            <sz val="9"/>
            <color indexed="81"/>
            <rFont val="Tahoma"/>
            <family val="2"/>
          </rPr>
          <t>Billy Tsekos:</t>
        </r>
        <r>
          <rPr>
            <sz val="9"/>
            <color indexed="81"/>
            <rFont val="Tahoma"/>
            <family val="2"/>
          </rPr>
          <t xml:space="preserve">
Dans  la période 1995-2012, les émissions de CO2 sont passées de 945 kTà 2782 kT, soit un accroissement  de plus de 190% sur les 17 années</t>
        </r>
      </text>
    </comment>
    <comment ref="DO115" authorId="2">
      <text>
        <r>
          <rPr>
            <b/>
            <sz val="9"/>
            <color indexed="81"/>
            <rFont val="Tahoma"/>
            <family val="2"/>
          </rPr>
          <t>Billy Tsekos:</t>
        </r>
        <r>
          <rPr>
            <sz val="9"/>
            <color indexed="81"/>
            <rFont val="Tahoma"/>
            <family val="2"/>
          </rPr>
          <t xml:space="preserve">
</t>
        </r>
        <r>
          <rPr>
            <b/>
            <sz val="9"/>
            <color indexed="81"/>
            <rFont val="Tahoma"/>
            <family val="2"/>
          </rPr>
          <t>0.08% agriculture</t>
        </r>
      </text>
    </comment>
    <comment ref="DP115" authorId="2">
      <text>
        <r>
          <rPr>
            <b/>
            <sz val="9"/>
            <color indexed="81"/>
            <rFont val="Tahoma"/>
            <family val="2"/>
          </rPr>
          <t>Billy Tsekos:</t>
        </r>
        <r>
          <rPr>
            <sz val="9"/>
            <color indexed="81"/>
            <rFont val="Tahoma"/>
            <family val="2"/>
          </rPr>
          <t xml:space="preserve">
La plantation forestière est une activité importante au Mali marquée par une forte progression des superficies  reboisées. Entre 2007 et 2014, les superficies plantées ont passé de 9 079 hectares à 80 387 hectares, soit une  multiplication par 9. </t>
        </r>
      </text>
    </comment>
    <comment ref="G116" authorId="2">
      <text>
        <r>
          <rPr>
            <b/>
            <sz val="9"/>
            <color indexed="81"/>
            <rFont val="Tahoma"/>
            <family val="2"/>
          </rPr>
          <t>Billy Tsekos:</t>
        </r>
        <r>
          <rPr>
            <sz val="9"/>
            <color indexed="81"/>
            <rFont val="Tahoma"/>
            <family val="2"/>
          </rPr>
          <t xml:space="preserve">
2012</t>
        </r>
      </text>
    </comment>
    <comment ref="Z116" authorId="2">
      <text>
        <r>
          <rPr>
            <b/>
            <sz val="9"/>
            <color indexed="81"/>
            <rFont val="Tahoma"/>
            <family val="2"/>
          </rPr>
          <t>Billy Tsekos:</t>
        </r>
        <r>
          <rPr>
            <sz val="9"/>
            <color indexed="81"/>
            <rFont val="Tahoma"/>
            <family val="2"/>
          </rPr>
          <t xml:space="preserve">
</t>
        </r>
        <r>
          <rPr>
            <b/>
            <sz val="9"/>
            <color indexed="81"/>
            <rFont val="Tahoma"/>
            <family val="2"/>
          </rPr>
          <t>NR-P.20-21</t>
        </r>
      </text>
    </comment>
    <comment ref="BA116" authorId="0">
      <text>
        <r>
          <rPr>
            <b/>
            <sz val="9"/>
            <color indexed="81"/>
            <rFont val="Tahoma"/>
            <family val="2"/>
          </rPr>
          <t xml:space="preserve">NR-P.5: </t>
        </r>
        <r>
          <rPr>
            <sz val="9"/>
            <color indexed="81"/>
            <rFont val="Tahoma"/>
            <family val="2"/>
          </rPr>
          <t>By 2020, the rate of loss of natural and semi-natural habitats of conservation value is at least halved, and degradation and fragmentation is significantly reduced. The percentage cover of “forests and semi-natural areas” has not decreased below the CORINE land cover data of 2006.</t>
        </r>
      </text>
    </comment>
    <comment ref="BC116" authorId="2">
      <text>
        <r>
          <rPr>
            <b/>
            <sz val="9"/>
            <color indexed="81"/>
            <rFont val="Tahoma"/>
            <family val="2"/>
          </rPr>
          <t>Billy Tsekos:</t>
        </r>
        <r>
          <rPr>
            <sz val="9"/>
            <color indexed="81"/>
            <rFont val="Tahoma"/>
            <family val="2"/>
          </rPr>
          <t xml:space="preserve">
50%</t>
        </r>
      </text>
    </comment>
    <comment ref="BD116" authorId="2">
      <text>
        <r>
          <rPr>
            <b/>
            <sz val="9"/>
            <color indexed="81"/>
            <rFont val="Tahoma"/>
            <family val="2"/>
          </rPr>
          <t>Billy Tsekos:</t>
        </r>
        <r>
          <rPr>
            <sz val="9"/>
            <color indexed="81"/>
            <rFont val="Tahoma"/>
            <family val="2"/>
          </rPr>
          <t xml:space="preserve">
2020</t>
        </r>
      </text>
    </comment>
    <comment ref="BE116" authorId="2">
      <text>
        <r>
          <rPr>
            <b/>
            <sz val="9"/>
            <color indexed="81"/>
            <rFont val="Tahoma"/>
            <family val="2"/>
          </rPr>
          <t>Billy Tsekos:</t>
        </r>
        <r>
          <rPr>
            <sz val="9"/>
            <color indexed="81"/>
            <rFont val="Tahoma"/>
            <family val="2"/>
          </rPr>
          <t xml:space="preserve">
2006</t>
        </r>
      </text>
    </comment>
    <comment ref="BI116" authorId="2">
      <text>
        <r>
          <rPr>
            <b/>
            <sz val="9"/>
            <color indexed="81"/>
            <rFont val="Tahoma"/>
            <family val="2"/>
          </rPr>
          <t>Billy Tsekos:</t>
        </r>
        <r>
          <rPr>
            <sz val="9"/>
            <color indexed="81"/>
            <rFont val="Tahoma"/>
            <family val="2"/>
          </rPr>
          <t xml:space="preserve">
</t>
        </r>
        <r>
          <rPr>
            <b/>
            <sz val="9"/>
            <color indexed="81"/>
            <rFont val="Tahoma"/>
            <family val="2"/>
          </rPr>
          <t>NR-P.7:</t>
        </r>
        <r>
          <rPr>
            <sz val="9"/>
            <color indexed="81"/>
            <rFont val="Tahoma"/>
            <family val="2"/>
          </rPr>
          <t xml:space="preserve"> By 2020, vulnerable ecosystems that provide essential services are safeguarded, with at least 15% of degraded ecosystems restored, while 20% of the habitats of European Community Importance in the Maltese territory have a favourable or improved conservation status</t>
        </r>
      </text>
    </comment>
    <comment ref="BX116" authorId="2">
      <text>
        <r>
          <rPr>
            <b/>
            <sz val="9"/>
            <color indexed="81"/>
            <rFont val="Tahoma"/>
            <family val="2"/>
          </rPr>
          <t>Billy Tsekos:</t>
        </r>
        <r>
          <rPr>
            <sz val="9"/>
            <color indexed="81"/>
            <rFont val="Tahoma"/>
            <family val="2"/>
          </rPr>
          <t xml:space="preserve">
</t>
        </r>
        <r>
          <rPr>
            <b/>
            <sz val="9"/>
            <color indexed="81"/>
            <rFont val="Tahoma"/>
            <family val="2"/>
          </rPr>
          <t>NR-P.61:</t>
        </r>
        <r>
          <rPr>
            <sz val="9"/>
            <color indexed="81"/>
            <rFont val="Tahoma"/>
            <family val="2"/>
          </rPr>
          <t xml:space="preserve"> The main direct drivers of change to biodiversity in general remain as reported in Malta’s 4NR i.e. land conversion/degradation, pollution and invasive alien species. Indirect drivers of change in Malta include constraints in resources hindering effective or timely conservation action, misconceptions towards elements of biodiversity and lack of biodiversity valuation in decision and policy making.</t>
        </r>
      </text>
    </comment>
    <comment ref="CC116" authorId="2">
      <text>
        <r>
          <rPr>
            <b/>
            <sz val="9"/>
            <color indexed="81"/>
            <rFont val="Tahoma"/>
            <family val="2"/>
          </rPr>
          <t>Billy Tsekos:</t>
        </r>
        <r>
          <rPr>
            <sz val="9"/>
            <color indexed="81"/>
            <rFont val="Tahoma"/>
            <family val="2"/>
          </rPr>
          <t xml:space="preserve">
</t>
        </r>
        <r>
          <rPr>
            <b/>
            <sz val="9"/>
            <color indexed="81"/>
            <rFont val="Tahoma"/>
            <family val="2"/>
          </rPr>
          <t xml:space="preserve">NR-P.125: </t>
        </r>
        <r>
          <rPr>
            <sz val="9"/>
            <color indexed="81"/>
            <rFont val="Tahoma"/>
            <family val="2"/>
          </rPr>
          <t xml:space="preserve">The Malta National Action Programme to combat land degradation, drought and desertification (Malta UNCCD NAP) will be presented at the end of 2014. The document will provide detailed soil management mechanisms based on the assessed soil state (indicator system). These plans should be implemented at various levels so as to ameliorate the national soil quality. 
</t>
        </r>
      </text>
    </comment>
    <comment ref="CK116" authorId="2">
      <text>
        <r>
          <rPr>
            <b/>
            <sz val="9"/>
            <color indexed="81"/>
            <rFont val="Tahoma"/>
            <family val="2"/>
          </rPr>
          <t>Billy Tsekos:</t>
        </r>
        <r>
          <rPr>
            <sz val="9"/>
            <color indexed="81"/>
            <rFont val="Tahoma"/>
            <family val="2"/>
          </rPr>
          <t xml:space="preserve">
</t>
        </r>
        <r>
          <rPr>
            <b/>
            <sz val="9"/>
            <color indexed="81"/>
            <rFont val="Tahoma"/>
            <family val="2"/>
          </rPr>
          <t>NR-P.178:</t>
        </r>
        <r>
          <rPr>
            <sz val="9"/>
            <color indexed="81"/>
            <rFont val="Tahoma"/>
            <family val="2"/>
          </rPr>
          <t xml:space="preserve">  The Land Use, Land-Use Change and Forestry (LULUCF) sector includes yearly estimates of carbon dioxide emissions and removals by particular vegetation types. In 2011 - 59.67 Gg of CO2 removals were estimated, accounting for a net removal equivalent to 2.0% of the total emissions for 2011. 
</t>
        </r>
        <r>
          <rPr>
            <b/>
            <sz val="9"/>
            <color indexed="81"/>
            <rFont val="Tahoma"/>
            <family val="2"/>
          </rPr>
          <t>NR-P.23:</t>
        </r>
        <r>
          <rPr>
            <sz val="9"/>
            <color indexed="81"/>
            <rFont val="Tahoma"/>
            <family val="2"/>
          </rPr>
          <t xml:space="preserve"> It is widely believed that a major threshold is 2% soil organic carbon, below which potentially serious decline in soil quality will occur. In 2006 the average organic matter in Malta’s topsoil was 2.1%, 0.2% more than the average in 2002 (Source – State of Environment Indicators 2006</t>
        </r>
      </text>
    </comment>
    <comment ref="CP116" authorId="2">
      <text>
        <r>
          <rPr>
            <b/>
            <sz val="9"/>
            <color indexed="81"/>
            <rFont val="Tahoma"/>
            <family val="2"/>
          </rPr>
          <t>Billy Tsekos:</t>
        </r>
        <r>
          <rPr>
            <sz val="9"/>
            <color indexed="81"/>
            <rFont val="Tahoma"/>
            <family val="2"/>
          </rPr>
          <t xml:space="preserve">
</t>
        </r>
        <r>
          <rPr>
            <b/>
            <sz val="9"/>
            <color indexed="81"/>
            <rFont val="Tahoma"/>
            <family val="2"/>
          </rPr>
          <t>NR-P.178:</t>
        </r>
        <r>
          <rPr>
            <sz val="9"/>
            <color indexed="81"/>
            <rFont val="Tahoma"/>
            <family val="2"/>
          </rPr>
          <t xml:space="preserve"> Malta adopted its National Climate Change Adaptation Strategy. Adaptation measures that help build/maintain ecosystem resilience are afforestation projects and restoration measures as part of protected area management. </t>
        </r>
      </text>
    </comment>
    <comment ref="CQ116" authorId="2">
      <text>
        <r>
          <rPr>
            <b/>
            <sz val="9"/>
            <color indexed="81"/>
            <rFont val="Tahoma"/>
            <family val="2"/>
          </rPr>
          <t>Billy Tsekos:</t>
        </r>
        <r>
          <rPr>
            <sz val="9"/>
            <color indexed="81"/>
            <rFont val="Tahoma"/>
            <family val="2"/>
          </rPr>
          <t xml:space="preserve">
</t>
        </r>
        <r>
          <rPr>
            <b/>
            <sz val="9"/>
            <color indexed="81"/>
            <rFont val="Tahoma"/>
            <family val="2"/>
          </rPr>
          <t xml:space="preserve">NR-P.31: </t>
        </r>
        <r>
          <rPr>
            <sz val="9"/>
            <color indexed="81"/>
            <rFont val="Tahoma"/>
            <family val="2"/>
          </rPr>
          <t xml:space="preserve">Freshwater inland surface water bodies (mapped in Figure 3) are vulnerable systems in Malta as in other parts of the world.
</t>
        </r>
        <r>
          <rPr>
            <b/>
            <sz val="9"/>
            <color indexed="81"/>
            <rFont val="Tahoma"/>
            <family val="2"/>
          </rPr>
          <t xml:space="preserve">
NR-P.84: </t>
        </r>
        <r>
          <rPr>
            <sz val="9"/>
            <color indexed="81"/>
            <rFont val="Tahoma"/>
            <family val="2"/>
          </rPr>
          <t xml:space="preserve">With respect to adaptation, the National Climate Change Committee appointed in August 2009 was tasked with the drafting of a National Strategy on Adaptation for Climate Change tailored to address Malta‘s adaptation concerns. The Strategy was subsequently adopted in May 201264. The National Adaptation Strategy seeks to address recommendations in various sectors which are vulnerable to climate change, vis-à-vis water, agriculture, human health and tourism. </t>
        </r>
      </text>
    </comment>
    <comment ref="H118" authorId="2">
      <text>
        <r>
          <rPr>
            <b/>
            <sz val="9"/>
            <color indexed="81"/>
            <rFont val="Calibri"/>
            <family val="2"/>
          </rPr>
          <t>Billy Tsekos:</t>
        </r>
        <r>
          <rPr>
            <sz val="9"/>
            <color indexed="81"/>
            <rFont val="Calibri"/>
            <family val="2"/>
          </rPr>
          <t xml:space="preserve">
2014</t>
        </r>
      </text>
    </comment>
    <comment ref="Z118" authorId="2">
      <text>
        <r>
          <rPr>
            <b/>
            <sz val="9"/>
            <color indexed="81"/>
            <rFont val="Tahoma"/>
            <family val="2"/>
          </rPr>
          <t>Billy Tsekos:</t>
        </r>
        <r>
          <rPr>
            <sz val="9"/>
            <color indexed="81"/>
            <rFont val="Tahoma"/>
            <family val="2"/>
          </rPr>
          <t xml:space="preserve">
</t>
        </r>
        <r>
          <rPr>
            <b/>
            <sz val="9"/>
            <color indexed="81"/>
            <rFont val="Tahoma"/>
            <family val="2"/>
          </rPr>
          <t>NR-P.13:</t>
        </r>
        <r>
          <rPr>
            <sz val="9"/>
            <color indexed="81"/>
            <rFont val="Tahoma"/>
            <family val="2"/>
          </rPr>
          <t xml:space="preserve"> La couverture forestière qui a été estimée (1980-85) à un total de 4.387.000 ha est passée à environ 415.000 ha en 1990 et n'est plus que 317.000 ha en 2010, soit une régression moyenne d'environ 10.000 ha par an au cours des dix dernières années ce qui correspond à un taux annuel de changement de moins 2,7%.
</t>
        </r>
        <r>
          <rPr>
            <b/>
            <sz val="9"/>
            <color indexed="81"/>
            <rFont val="Tahoma"/>
            <family val="2"/>
          </rPr>
          <t xml:space="preserve">
NR-P.8: </t>
        </r>
        <r>
          <rPr>
            <sz val="9"/>
            <color indexed="81"/>
            <rFont val="Tahoma"/>
            <family val="2"/>
          </rPr>
          <t xml:space="preserve">Parmi également les principales composantes de ces deux grands domaines continentaux, la zone agricole couvrant une superficie de 326 800 ha, dont 11,5 % seulement pour l’agriculture irriguée. 
</t>
        </r>
        <r>
          <rPr>
            <b/>
            <sz val="9"/>
            <color indexed="81"/>
            <rFont val="Tahoma"/>
            <family val="2"/>
          </rPr>
          <t>NR-P.11:</t>
        </r>
        <r>
          <rPr>
            <sz val="9"/>
            <color indexed="81"/>
            <rFont val="Tahoma"/>
            <family val="2"/>
          </rPr>
          <t xml:space="preserve"> Tableau 1. Forêts classées de Mauritanie, localisation et superficies
</t>
        </r>
        <r>
          <rPr>
            <b/>
            <sz val="9"/>
            <color indexed="81"/>
            <rFont val="Tahoma"/>
            <family val="2"/>
          </rPr>
          <t>NR-P.15</t>
        </r>
        <r>
          <rPr>
            <sz val="9"/>
            <color indexed="81"/>
            <rFont val="Tahoma"/>
            <family val="2"/>
          </rPr>
          <t>: L’espace pastoral couvre une superficie de 13 848 000 ha soit environ 14 % de la superficie
totale du pays</t>
        </r>
      </text>
    </comment>
    <comment ref="AH118" authorId="2">
      <text>
        <r>
          <rPr>
            <b/>
            <sz val="9"/>
            <color indexed="81"/>
            <rFont val="Tahoma"/>
            <family val="2"/>
          </rPr>
          <t>Billy Tsekos:</t>
        </r>
        <r>
          <rPr>
            <sz val="9"/>
            <color indexed="81"/>
            <rFont val="Tahoma"/>
            <family val="2"/>
          </rPr>
          <t xml:space="preserve">
</t>
        </r>
        <r>
          <rPr>
            <b/>
            <sz val="9"/>
            <color indexed="81"/>
            <rFont val="Tahoma"/>
            <family val="2"/>
          </rPr>
          <t>NR-P.13:</t>
        </r>
        <r>
          <rPr>
            <sz val="9"/>
            <color indexed="81"/>
            <rFont val="Tahoma"/>
            <family val="2"/>
          </rPr>
          <t xml:space="preserve"> La couverture forestière qui a été estimée (1980-85) à un total de 4.387.000 ha est passée à environ 415.000 ha en 1990 et n'est plus que 317.000 ha en 2010, soit une régression moyenne d'environ 10.000 ha par an au cours des dix dernières années ce qui correspond à un taux annuel de changement de moins 2,7%</t>
        </r>
      </text>
    </comment>
    <comment ref="AO118" authorId="2">
      <text>
        <r>
          <rPr>
            <b/>
            <sz val="9"/>
            <color indexed="81"/>
            <rFont val="Tahoma"/>
            <family val="2"/>
          </rPr>
          <t>Billy Tsekos:</t>
        </r>
        <r>
          <rPr>
            <sz val="9"/>
            <color indexed="81"/>
            <rFont val="Tahoma"/>
            <family val="2"/>
          </rPr>
          <t xml:space="preserve">
</t>
        </r>
        <r>
          <rPr>
            <b/>
            <sz val="9"/>
            <color indexed="81"/>
            <rFont val="Tahoma"/>
            <family val="2"/>
          </rPr>
          <t xml:space="preserve">NR-P.10:  </t>
        </r>
        <r>
          <rPr>
            <sz val="9"/>
            <color indexed="81"/>
            <rFont val="Tahoma"/>
            <family val="2"/>
          </rPr>
          <t>Des formations arbustives ou arborées sont reparties sur environ 4,25 % du territoire mauritanien don’t moins de 3,5 % sont accessibles à l'exploitation.</t>
        </r>
      </text>
    </comment>
    <comment ref="AV118" authorId="2">
      <text>
        <r>
          <rPr>
            <b/>
            <sz val="9"/>
            <color indexed="81"/>
            <rFont val="Tahoma"/>
            <family val="2"/>
          </rPr>
          <t>Billy Tsekos:</t>
        </r>
        <r>
          <rPr>
            <sz val="9"/>
            <color indexed="81"/>
            <rFont val="Tahoma"/>
            <family val="2"/>
          </rPr>
          <t xml:space="preserve">
</t>
        </r>
        <r>
          <rPr>
            <b/>
            <sz val="9"/>
            <color indexed="81"/>
            <rFont val="Tahoma"/>
            <family val="2"/>
          </rPr>
          <t>NR-P.17:</t>
        </r>
        <r>
          <rPr>
            <sz val="9"/>
            <color indexed="81"/>
            <rFont val="Tahoma"/>
            <family val="2"/>
          </rPr>
          <t xml:space="preserve"> Feux de brousse : De façon générale, le feu constitue une véritable menace pour les formations végétales bien que la superficie pastorale perdue annuellement à cause des incendies, demeure relativement faible par rapport à l’étendue de la zone pastorale du pays (entre 0,006 et 0,16% par an). En effet, de 2007 à 2012, la superficie moyenne détruite par le feu n’était que de 1 362 ha/an. La superficie brûlée est passée de 322 000 ha/an en 1995 à 203 205 en 2010.</t>
        </r>
      </text>
    </comment>
    <comment ref="BA118" authorId="0">
      <text>
        <r>
          <rPr>
            <sz val="9"/>
            <color indexed="81"/>
            <rFont val="Tahoma"/>
            <family val="2"/>
          </rPr>
          <t>NI</t>
        </r>
      </text>
    </comment>
    <comment ref="BI118" authorId="2">
      <text>
        <r>
          <rPr>
            <b/>
            <sz val="9"/>
            <color indexed="81"/>
            <rFont val="Tahoma"/>
            <family val="2"/>
          </rPr>
          <t>Billy Tsekos:</t>
        </r>
        <r>
          <rPr>
            <sz val="9"/>
            <color indexed="81"/>
            <rFont val="Tahoma"/>
            <family val="2"/>
          </rPr>
          <t xml:space="preserve">
</t>
        </r>
        <r>
          <rPr>
            <b/>
            <sz val="9"/>
            <color indexed="81"/>
            <rFont val="Tahoma"/>
            <family val="2"/>
          </rPr>
          <t xml:space="preserve">Objectif 4 </t>
        </r>
        <r>
          <rPr>
            <sz val="9"/>
            <color indexed="81"/>
            <rFont val="Tahoma"/>
            <family val="2"/>
          </rPr>
          <t>Préserver et restaurer les écosystèmes et leur fonctionnement</t>
        </r>
      </text>
    </comment>
    <comment ref="BP118" authorId="2">
      <text>
        <r>
          <rPr>
            <b/>
            <sz val="9"/>
            <color indexed="81"/>
            <rFont val="Tahoma"/>
            <family val="2"/>
          </rPr>
          <t>Billy Tsekos:</t>
        </r>
        <r>
          <rPr>
            <sz val="9"/>
            <color indexed="81"/>
            <rFont val="Tahoma"/>
            <family val="2"/>
          </rPr>
          <t xml:space="preserve">
</t>
        </r>
        <r>
          <rPr>
            <b/>
            <sz val="9"/>
            <color indexed="81"/>
            <rFont val="Tahoma"/>
            <family val="2"/>
          </rPr>
          <t xml:space="preserve">NBSAP- P.21: </t>
        </r>
        <r>
          <rPr>
            <sz val="9"/>
            <color indexed="81"/>
            <rFont val="Tahoma"/>
            <family val="2"/>
          </rPr>
          <t xml:space="preserve">En Matiere de lutte contre l'ensablememnt, on peut souligner la realisation de 19 091 ha, cumul des activites des differentes intervention menees y compris la compagne de reboisement de 2012
</t>
        </r>
        <r>
          <rPr>
            <b/>
            <sz val="9"/>
            <color indexed="81"/>
            <rFont val="Tahoma"/>
            <family val="2"/>
          </rPr>
          <t>NBSAP- P.31</t>
        </r>
        <r>
          <rPr>
            <sz val="9"/>
            <color indexed="81"/>
            <rFont val="Tahoma"/>
            <family val="2"/>
          </rPr>
          <t xml:space="preserve">:Une strategie de restauration a ete elaboree mais so plan d'action n'a pas etemis en oeuvre  </t>
        </r>
      </text>
    </comment>
    <comment ref="BT118" authorId="2">
      <text>
        <r>
          <rPr>
            <b/>
            <sz val="9"/>
            <color indexed="81"/>
            <rFont val="Tahoma"/>
            <family val="2"/>
          </rPr>
          <t>Billy Tsekos:</t>
        </r>
        <r>
          <rPr>
            <sz val="9"/>
            <color indexed="81"/>
            <rFont val="Tahoma"/>
            <family val="2"/>
          </rPr>
          <t xml:space="preserve">
NBSAP- P.21: En Matiere de lutte contre l'ensablememnt, on peut souligner la realisation de 19 091 ha, cumul des activites des differentes intervention menees y compris la compagne de reboisement de 2012</t>
        </r>
      </text>
    </comment>
    <comment ref="BX118" authorId="2">
      <text>
        <r>
          <rPr>
            <b/>
            <sz val="9"/>
            <color indexed="81"/>
            <rFont val="Tahoma"/>
            <family val="2"/>
          </rPr>
          <t>Billy Tsekos:</t>
        </r>
        <r>
          <rPr>
            <sz val="9"/>
            <color indexed="81"/>
            <rFont val="Tahoma"/>
            <family val="2"/>
          </rPr>
          <t xml:space="preserve">
</t>
        </r>
        <r>
          <rPr>
            <b/>
            <sz val="9"/>
            <color indexed="81"/>
            <rFont val="Tahoma"/>
            <family val="2"/>
          </rPr>
          <t>NR-P.5:</t>
        </r>
        <r>
          <rPr>
            <sz val="9"/>
            <color indexed="81"/>
            <rFont val="Tahoma"/>
            <family val="2"/>
          </rPr>
          <t xml:space="preserve"> La Mauritanie est un pays sahélo-saharien qui a été durement touché par les phénomènes conjugués de la sécheresse et de la désertification. En effet, le pays est confronté, depuis de longues années aux défis majeurs de la sévérité climatique (sécheresse prolongée), occasionnant une sédentarisation anarchique d'une population en forte croissance, et une déforestation accompagnée de l’ensablement des infrastructures socio-économiques de base. Ces deux phénomènes ont provoqué la dégradation de la couverture végétale arborée, arbustive et herbacée et ont exposé les sols à l’érosion hydrique et éolienne. 
</t>
        </r>
        <r>
          <rPr>
            <b/>
            <sz val="9"/>
            <color indexed="81"/>
            <rFont val="Tahoma"/>
            <family val="2"/>
          </rPr>
          <t xml:space="preserve">NR-P.18: </t>
        </r>
        <r>
          <rPr>
            <sz val="9"/>
            <color indexed="81"/>
            <rFont val="Tahoma"/>
            <family val="2"/>
          </rPr>
          <t xml:space="preserve">Salinisation : La salinisation est la forme de dégradation des sols la plus rapide dans les périmètres irrigués. Elle affecte plusieurs milliers d’ha dans la vallée du fleuve Sénégal. </t>
        </r>
      </text>
    </comment>
    <comment ref="CC118" authorId="2">
      <text>
        <r>
          <rPr>
            <b/>
            <sz val="9"/>
            <color indexed="81"/>
            <rFont val="Tahoma"/>
            <family val="2"/>
          </rPr>
          <t>Billy Tsekos:</t>
        </r>
        <r>
          <rPr>
            <sz val="9"/>
            <color indexed="81"/>
            <rFont val="Tahoma"/>
            <family val="2"/>
          </rPr>
          <t xml:space="preserve">
</t>
        </r>
        <r>
          <rPr>
            <b/>
            <sz val="9"/>
            <color indexed="81"/>
            <rFont val="Tahoma"/>
            <family val="2"/>
          </rPr>
          <t>NR-P.5:</t>
        </r>
        <r>
          <rPr>
            <sz val="9"/>
            <color indexed="81"/>
            <rFont val="Tahoma"/>
            <family val="2"/>
          </rPr>
          <t xml:space="preserve"> La stratégie nationale sur la diversité biologique vient donc compléter les grandes orientations du Cadre Stratégique de Lutte contre la Pauvreté et du Plan d’Action National pour l’Environnement (PANE) qui sont des documents de référence de la politique nationale de protection de l’environnement et de la biodiversité. Le PANE vise à fournir à la Mauritanie un cadre cohérent d’actions pour la bonne gouvernance environnementale en général, et pour la lutte contre la dégradation des ressources naturelles, en particulier.
</t>
        </r>
        <r>
          <rPr>
            <b/>
            <sz val="9"/>
            <color indexed="81"/>
            <rFont val="Tahoma"/>
            <family val="2"/>
          </rPr>
          <t>NR-P.15:</t>
        </r>
        <r>
          <rPr>
            <sz val="9"/>
            <color indexed="81"/>
            <rFont val="Tahoma"/>
            <family val="2"/>
          </rPr>
          <t xml:space="preserve"> L’objectif de la stratégie nationale de développement durable (SNDD) et de son plan d’action est d’inverser les tendances actuelles de la dégradation du couvert végétal par le reboisement, la régénération et l’amélioration sylvo-pastorale, ainsi que le développement intégré des zones ressources naturelles. Le Plan d’action National pour l’Environnement (PANE) fait du reboisement une action prioritaire de reconstitution et de mise en valeur des ressources forestières. Chaque année des milliers d’hectares sont reboisés par les services forestiers. A titre d’exemple, la superficie reboisée en 2012 a atteint environ 20. 000 ha.</t>
        </r>
      </text>
    </comment>
    <comment ref="CK118"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 xml:space="preserve">Les zostères tropicales forment un puits de carbone important en tant que source de production primaire qui capture jusqu’à 4 000g C/m²/an.
Les sols de ces marécages boueux peuvent également stocker du carbone. </t>
        </r>
      </text>
    </comment>
    <comment ref="CQ118" authorId="2">
      <text>
        <r>
          <rPr>
            <b/>
            <sz val="9"/>
            <color indexed="81"/>
            <rFont val="Tahoma"/>
            <family val="2"/>
          </rPr>
          <t>Billy Tsekos:</t>
        </r>
        <r>
          <rPr>
            <sz val="9"/>
            <color indexed="81"/>
            <rFont val="Tahoma"/>
            <family val="2"/>
          </rPr>
          <t xml:space="preserve">
</t>
        </r>
        <r>
          <rPr>
            <b/>
            <sz val="9"/>
            <color indexed="81"/>
            <rFont val="Tahoma"/>
            <family val="2"/>
          </rPr>
          <t>NR-P.47</t>
        </r>
        <r>
          <rPr>
            <sz val="9"/>
            <color indexed="81"/>
            <rFont val="Tahoma"/>
            <family val="2"/>
          </rPr>
          <t xml:space="preserve">: Ainsi, l’objectif de cette Stratégie Nationale de la Biodiversité (SNB) est de maintenir, à long terme, le fonctionnement des écosystèmes et leurs capacités d’adaptation et d’évolution. Elle œuvre à la réduction des impacts directs et indirects sur la biodiversité, à une utilisation durable des ressources vivantes et à la répartition équitable des bénéfices que celles-ci procurent. 
</t>
        </r>
        <r>
          <rPr>
            <b/>
            <sz val="9"/>
            <color indexed="81"/>
            <rFont val="Tahoma"/>
            <family val="2"/>
          </rPr>
          <t>NR-P.47:</t>
        </r>
        <r>
          <rPr>
            <sz val="9"/>
            <color indexed="81"/>
            <rFont val="Tahoma"/>
            <family val="2"/>
          </rPr>
          <t xml:space="preserve"> Préservation et valorisation des ressources naturelles dans une double logique de : répondre aux exigences des conventions internationales en matière d’adaptation au changement climatique et de conservation de la diversité biologique et de leur financement durable. Dans ce contexte s’inscrivent également les engagements relatifs à la Grande Muraille Verte (11 pays) et la ceinture verte de la ville de Nouakchott.</t>
        </r>
      </text>
    </comment>
    <comment ref="CV118" authorId="2">
      <text>
        <r>
          <rPr>
            <b/>
            <sz val="9"/>
            <color indexed="81"/>
            <rFont val="Tahoma"/>
            <family val="2"/>
          </rPr>
          <t xml:space="preserve">Billy Tsekos:
NR-P.58: </t>
        </r>
        <r>
          <rPr>
            <sz val="9"/>
            <color indexed="81"/>
            <rFont val="Tahoma"/>
            <family val="2"/>
          </rPr>
          <t>Programme d'Action National de Lutte Contre la Désertification (PAN/LCD)</t>
        </r>
        <r>
          <rPr>
            <b/>
            <sz val="9"/>
            <color indexed="81"/>
            <rFont val="Tahoma"/>
            <family val="2"/>
          </rPr>
          <t xml:space="preserve">
</t>
        </r>
        <r>
          <rPr>
            <sz val="9"/>
            <color indexed="81"/>
            <rFont val="Tahoma"/>
            <family val="2"/>
          </rPr>
          <t xml:space="preserve">
</t>
        </r>
        <r>
          <rPr>
            <b/>
            <sz val="9"/>
            <color indexed="81"/>
            <rFont val="Tahoma"/>
            <family val="2"/>
          </rPr>
          <t>NR-P.1:</t>
        </r>
        <r>
          <rPr>
            <sz val="9"/>
            <color indexed="81"/>
            <rFont val="Tahoma"/>
            <family val="2"/>
          </rPr>
          <t xml:space="preserve"> La Mauritanie est un pays sahélo-saharien qui a été durement touché par les phénomènes conjugués de la sécheresse et de la désertification.
</t>
        </r>
        <r>
          <rPr>
            <b/>
            <sz val="9"/>
            <color indexed="81"/>
            <rFont val="Tahoma"/>
            <family val="2"/>
          </rPr>
          <t>NR-P.15</t>
        </r>
        <r>
          <rPr>
            <sz val="9"/>
            <color indexed="81"/>
            <rFont val="Tahoma"/>
            <family val="2"/>
          </rPr>
          <t xml:space="preserve">: le couvert végétal mauritanien est très fragmenté .La cause principale est la sécheresse et la désertification. 
</t>
        </r>
        <r>
          <rPr>
            <b/>
            <sz val="9"/>
            <color indexed="81"/>
            <rFont val="Tahoma"/>
            <family val="2"/>
          </rPr>
          <t xml:space="preserve">NR-P.57: </t>
        </r>
        <r>
          <rPr>
            <sz val="9"/>
            <color indexed="81"/>
            <rFont val="Tahoma"/>
            <family val="2"/>
          </rPr>
          <t xml:space="preserve">L’élaboration du Code de l’Environnement et la ratification des diverses Conventions internationales sur les changements climatiques, la diversité biologique et la lutte contre la désertification, entre autres, visent à rationaliser la gestion du potentiel et à garantir la durabilité du capital naturel et des écosystèmes. 
</t>
        </r>
        <r>
          <rPr>
            <b/>
            <sz val="9"/>
            <color indexed="81"/>
            <rFont val="Tahoma"/>
            <family val="2"/>
          </rPr>
          <t>NR-P.62:</t>
        </r>
        <r>
          <rPr>
            <sz val="9"/>
            <color indexed="81"/>
            <rFont val="Tahoma"/>
            <family val="2"/>
          </rPr>
          <t xml:space="preserve"> D’autres programmes/activités de ce département se rapportent à la conservation des eaux et du sol, à la lutte contre la désertification et au reboisement, trois thématiques qui n’ont d’autres finalités que la
protection des supports sur lesquels se développe la diversité biologique. </t>
        </r>
      </text>
    </comment>
    <comment ref="DG118" authorId="2">
      <text>
        <r>
          <rPr>
            <b/>
            <sz val="9"/>
            <color indexed="81"/>
            <rFont val="Tahoma"/>
            <family val="2"/>
          </rPr>
          <t>Billy Tsekos:</t>
        </r>
        <r>
          <rPr>
            <sz val="9"/>
            <color indexed="81"/>
            <rFont val="Tahoma"/>
            <family val="2"/>
          </rPr>
          <t xml:space="preserve">
- </t>
        </r>
        <r>
          <rPr>
            <b/>
            <sz val="9"/>
            <color indexed="81"/>
            <rFont val="Tahoma"/>
            <family val="2"/>
          </rPr>
          <t xml:space="preserve">20431.5 </t>
        </r>
        <r>
          <rPr>
            <sz val="9"/>
            <color indexed="81"/>
            <rFont val="Tahoma"/>
            <family val="2"/>
          </rPr>
          <t>Gg Eq Co2</t>
        </r>
      </text>
    </comment>
    <comment ref="DL118" authorId="2">
      <text>
        <r>
          <rPr>
            <b/>
            <sz val="9"/>
            <color indexed="81"/>
            <rFont val="Tahoma"/>
            <family val="2"/>
          </rPr>
          <t>Billy Tsekos:</t>
        </r>
        <r>
          <rPr>
            <sz val="9"/>
            <color indexed="81"/>
            <rFont val="Tahoma"/>
            <family val="2"/>
          </rPr>
          <t xml:space="preserve">
Un ensemencement aerien des terres degradees</t>
        </r>
      </text>
    </comment>
    <comment ref="DM118" authorId="2">
      <text>
        <r>
          <rPr>
            <b/>
            <sz val="9"/>
            <color indexed="81"/>
            <rFont val="Tahoma"/>
            <family val="2"/>
          </rPr>
          <t>Billy Tsekos:</t>
        </r>
        <r>
          <rPr>
            <sz val="9"/>
            <color indexed="81"/>
            <rFont val="Tahoma"/>
            <family val="2"/>
          </rPr>
          <t xml:space="preserve">
2-Eq Gg 51.7</t>
        </r>
        <r>
          <rPr>
            <b/>
            <sz val="9"/>
            <color indexed="81"/>
            <rFont val="Tahoma"/>
            <family val="2"/>
          </rPr>
          <t xml:space="preserve"> (2012)</t>
        </r>
      </text>
    </comment>
    <comment ref="Z120" authorId="5">
      <text>
        <r>
          <rPr>
            <sz val="11"/>
            <color theme="1"/>
            <rFont val="Calibri"/>
            <family val="2"/>
            <scheme val="minor"/>
          </rPr>
          <t>p. 23 -27</t>
        </r>
      </text>
    </comment>
    <comment ref="AH120" authorId="5">
      <text>
        <r>
          <rPr>
            <sz val="11"/>
            <color theme="1"/>
            <rFont val="Calibri"/>
            <family val="2"/>
            <scheme val="minor"/>
          </rPr>
          <t xml:space="preserve">p. 46 and forth ---&gt;La superficie de ecosistemas naturales del país se ha reducido significativamente desde mediados del siglo pasado para transformarse enterrenos agropecuarios, zonas urbanas y obras de infraestructura. En 2011, 28.7% del territorio había perdido sus ecosistemas naturales y el restante 71.3% los mantenía con diferentes grados de conservación. En ese año se conservaba 72.5% de la superficie original de bosques, 57.5% de las selvas, 89.7% de los matorrales y 60.1% de los pastizales, lo que representaba una pérdida neta de 23.4 millones de hectáreas de selvas, 12.9 millones de bosques, 5.8 millones de matorrales y cerca de 6.5 millones de pastizales. Debe mencionarse que, paralelamente a la reducción de la cobertura, la vegetación natural remanente sufre de importantes procesos de degradación: en 2011 tan sólo 49.5% de la extensión remanente  selvas y bosques correspondía al estado primario de conservación.
</t>
        </r>
      </text>
    </comment>
    <comment ref="AO120" authorId="5">
      <text>
        <r>
          <rPr>
            <sz val="11"/>
            <color theme="1"/>
            <rFont val="Calibri"/>
            <family val="2"/>
            <scheme val="minor"/>
          </rPr>
          <t>pag. 37 and forth</t>
        </r>
      </text>
    </comment>
    <comment ref="AV120" authorId="5">
      <text>
        <r>
          <rPr>
            <sz val="11"/>
            <color theme="1"/>
            <rFont val="Calibri"/>
            <family val="2"/>
            <scheme val="minor"/>
          </rPr>
          <t>p. 46-50</t>
        </r>
      </text>
    </comment>
    <comment ref="BA120" authorId="5">
      <text>
        <r>
          <rPr>
            <sz val="11"/>
            <color theme="1"/>
            <rFont val="Calibri"/>
            <family val="2"/>
            <scheme val="minor"/>
          </rPr>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r>
      </text>
    </comment>
    <comment ref="BD120" authorId="5">
      <text>
        <r>
          <rPr>
            <sz val="11"/>
            <color theme="1"/>
            <rFont val="Calibri"/>
            <family val="2"/>
            <scheme val="minor"/>
          </rPr>
          <t>2020</t>
        </r>
      </text>
    </comment>
    <comment ref="BI120" authorId="5">
      <text>
        <r>
          <rPr>
            <sz val="11"/>
            <color theme="1"/>
            <rFont val="Calibri"/>
            <family val="2"/>
            <scheme val="minor"/>
          </rPr>
          <t>Objetivo estratégico D. Ampliar los beneficios de la biodiversidad y los bienes y servicios ecosistémicos para todos los
habitantes</t>
        </r>
      </text>
    </comment>
    <comment ref="BL120" authorId="5">
      <text>
        <r>
          <rPr>
            <sz val="11"/>
            <color theme="1"/>
            <rFont val="Calibri"/>
            <family val="2"/>
            <scheme val="minor"/>
          </rPr>
          <t>pag. 79 and forth</t>
        </r>
      </text>
    </comment>
    <comment ref="BP120" authorId="5">
      <text>
        <r>
          <rPr>
            <sz val="11"/>
            <color theme="1"/>
            <rFont val="Calibri"/>
            <family val="2"/>
            <scheme val="minor"/>
          </rPr>
          <t>pag 79 and forth</t>
        </r>
      </text>
    </comment>
    <comment ref="BX120" authorId="5">
      <text>
        <r>
          <rPr>
            <sz val="11"/>
            <color theme="1"/>
            <rFont val="Calibri"/>
            <family val="2"/>
            <scheme val="minor"/>
          </rPr>
          <t xml:space="preserve">pag 15 
</t>
        </r>
      </text>
    </comment>
    <comment ref="CC120" authorId="5">
      <text>
        <r>
          <rPr>
            <sz val="11"/>
            <color theme="1"/>
            <rFont val="Calibri"/>
            <family val="2"/>
            <scheme val="minor"/>
          </rPr>
          <t>pag 16 and forth</t>
        </r>
      </text>
    </comment>
    <comment ref="CH120" authorId="5">
      <text>
        <r>
          <rPr>
            <sz val="11"/>
            <color theme="1"/>
            <rFont val="Calibri"/>
            <family val="2"/>
            <scheme val="minor"/>
          </rPr>
          <t xml:space="preserve">pag. 88 ---&gt;Entre los diferentes esfuerzos que México realiza en materia de reducción de emisiones por deforestación y degradación forestal, cabe destacar la labor en las Áreas de Acción Temprana redd+(atredd+), las cuales representan un esfuerzo articulado institucionalmente a nivel subnacional (regional y local) que permite atender las causas de la pérdida de bosques y del carbono
forestal a través de diferentes instrumentos
de política pública que generen oportunidades
para el desarrollo para las comunidades. 
</t>
        </r>
      </text>
    </comment>
    <comment ref="CI120" authorId="5">
      <text>
        <r>
          <rPr>
            <sz val="11"/>
            <color theme="1"/>
            <rFont val="Calibri"/>
            <family val="2"/>
            <scheme val="minor"/>
          </rPr>
          <t>pag 88 y referencia bibliografica en pag 125</t>
        </r>
      </text>
    </comment>
    <comment ref="CK120" authorId="5">
      <text>
        <r>
          <rPr>
            <sz val="11"/>
            <color theme="1"/>
            <rFont val="Calibri"/>
            <family val="2"/>
            <scheme val="minor"/>
          </rPr>
          <t xml:space="preserve">p. 55 -56
P. 314 --&gt; El carbono total a nivel nacional es de 2,100,596,655 ton de C de los cuales 1,680,384,978 ton de C corresponden a las plantas leñosas vivas, 418,629,336 ton de C a las raíces y 1,582,341 ton de C a la madera muerta de las plantas leñosas muertas en pie. Los bosques templados representan los almacenes de carbono más ricos del país.
</t>
        </r>
      </text>
    </comment>
    <comment ref="CP120" authorId="5">
      <text>
        <r>
          <rPr>
            <sz val="11"/>
            <color theme="1"/>
            <rFont val="Calibri"/>
            <family val="2"/>
            <scheme val="minor"/>
          </rPr>
          <t>p. 274 ---&gt; '' (...)En cuanto al incremento de resiliencia, las reservas de agua permiten contar con capacidad de resistencia y recuperación ante la variabilidad climática, no sólo de ecosistemas al conservar la conectividad de corredores ribereños, sino también de la sociedad al establecer una capacidad de amortiguamiento en el balance de agua dadas las variaciones en su disponibilidad y la ocurrencia de eventos extremos(...)``
p. 173 ---&gt; ``(...)Mediante el mantenimiento de la salud ecológica, la conectividad y la resistencia al cambio climático de los ecosistemas semiáridos que constituyen este majestuoso
paisaje, se apoya a las poblaciones humanas que dependen estrechamente de los recursos naturales y de los servicios ecosistémicos que provee la región. (...)``</t>
        </r>
      </text>
    </comment>
    <comment ref="CQ120" authorId="5">
      <text>
        <r>
          <rPr>
            <sz val="11"/>
            <color theme="1"/>
            <rFont val="Calibri"/>
            <family val="2"/>
            <scheme val="minor"/>
          </rPr>
          <t>p. 54 ----&gt; 
El conocimiento sobre el impacto del cambio climático (incluyendo la variabilidad y los eventos extremos) sobre la biodiversidad en México es un tema que requiere de mayor investigación. Sin embargo, hay un reconocimiento explícito de que
éste, en combinación con los otros factores de
presión y amenaza tiene consecuencias ecológicas, ambientales y sociales negativas (Sarukhán et al. 2012). Algunos autores sugieren que de acuerdo con las proyecciones de cambio climático una proporción importante de la biodiversidad
mexicana podría verse seriamente afectada,
como es el caso de los bosques mesófilos de
montaña (Martínez-Meyer et al. 2014).
Se tiene registrado un incremento de la temperatura media anual en el país (de 0.6°C en promedio entre 1971 y 2008) (semarnat 2013a). Además, el cambio climático podría exacerbar las condiciones de sequía, reducir los rendimientos de las cosechas; producir olas de calor más frecuentes intensas y ocasionar daños por inundaciones a causa de eventos hidrometeorológicos extremos, principalmente en el sureste (semarnat 2013a)</t>
        </r>
      </text>
    </comment>
    <comment ref="ER120" authorId="0">
      <text>
        <r>
          <rPr>
            <sz val="9"/>
            <color indexed="81"/>
            <rFont val="Tahoma"/>
            <family val="2"/>
          </rPr>
          <t>NI</t>
        </r>
      </text>
    </comment>
    <comment ref="ER122" authorId="0">
      <text>
        <r>
          <rPr>
            <sz val="9"/>
            <color indexed="81"/>
            <rFont val="Tahoma"/>
            <family val="2"/>
          </rPr>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r>
      </text>
    </comment>
    <comment ref="Z123" authorId="1">
      <text>
        <r>
          <rPr>
            <b/>
            <sz val="9"/>
            <color indexed="81"/>
            <rFont val="Tahoma"/>
            <family val="2"/>
          </rPr>
          <t>billy.tsekos:</t>
        </r>
        <r>
          <rPr>
            <sz val="9"/>
            <color indexed="81"/>
            <rFont val="Tahoma"/>
            <family val="2"/>
          </rPr>
          <t xml:space="preserve">
</t>
        </r>
        <r>
          <rPr>
            <b/>
            <sz val="9"/>
            <color indexed="81"/>
            <rFont val="Times New Roman"/>
            <family val="1"/>
          </rPr>
          <t>NBSAP-P.10:</t>
        </r>
        <r>
          <rPr>
            <sz val="9"/>
            <color indexed="81"/>
            <rFont val="Times New Roman"/>
            <family val="1"/>
          </rPr>
          <t xml:space="preserve"> As of 2014, Mongolia’s forest fund totals 18,658 thous.ha which comprises of 11.92% of the total area of the country. Of which 12,519 thous.ha being forest covered areas and of which forest quality was estimated to be 8.0%. In accordance with its ecological and economical importance the forest of Mongolia is classified into two different zones, namely conservation and exploitation zones. 
Conservation zone forest compise of alpine forest, forests of national protected areas, green
zones of urban areas, forests of prohibited for use areas, saxaul forests, forests of oasis,
small sized forests of an area of less that 100 ha, and forest of mountain slopes of less than
30 degrees, which all together contains 82.8% of all forest fund or 15,4004,675 ha forest.
Exploitation zone forest is regarded as all the remaining areas of the forest fund and it is 17.2%
land of the forest fund or 3,187,735 ha area (MEGDT, 2015).</t>
        </r>
      </text>
    </comment>
    <comment ref="AH123" authorId="1">
      <text>
        <r>
          <rPr>
            <b/>
            <sz val="9"/>
            <color indexed="81"/>
            <rFont val="Tahoma"/>
            <family val="2"/>
          </rPr>
          <t>billy.tsekos:</t>
        </r>
        <r>
          <rPr>
            <sz val="9"/>
            <color indexed="81"/>
            <rFont val="Tahoma"/>
            <family val="2"/>
          </rPr>
          <t xml:space="preserve">
</t>
        </r>
        <r>
          <rPr>
            <b/>
            <sz val="9"/>
            <color indexed="81"/>
            <rFont val="Tahoma"/>
            <family val="2"/>
          </rPr>
          <t xml:space="preserve">NBSAP-P.25: </t>
        </r>
        <r>
          <rPr>
            <sz val="9"/>
            <color indexed="81"/>
            <rFont val="Tahoma"/>
            <family val="2"/>
          </rPr>
          <t xml:space="preserve">About 5% of forests is degraded each year. The annual timber production amounts 600 thousand cubic meter and considerable territory of forests affected by fire resulting deterioration of forest ecosystems. In addition, mining activities, increase of livestock and impact of urbanization threaten the forests. </t>
        </r>
      </text>
    </comment>
    <comment ref="AO123" authorId="1">
      <text>
        <r>
          <rPr>
            <b/>
            <sz val="9"/>
            <color indexed="81"/>
            <rFont val="Tahoma"/>
            <family val="2"/>
          </rPr>
          <t>billy.tsekos:</t>
        </r>
        <r>
          <rPr>
            <sz val="9"/>
            <color indexed="81"/>
            <rFont val="Tahoma"/>
            <family val="2"/>
          </rPr>
          <t xml:space="preserve">
</t>
        </r>
        <r>
          <rPr>
            <b/>
            <sz val="9"/>
            <color indexed="81"/>
            <rFont val="Tahoma"/>
            <family val="2"/>
          </rPr>
          <t xml:space="preserve">NBSAP-P.9: </t>
        </r>
        <r>
          <rPr>
            <sz val="9"/>
            <color indexed="81"/>
            <rFont val="Tahoma"/>
            <family val="2"/>
          </rPr>
          <t xml:space="preserve">According to the statistical information of 2013, out of 24,636.8 ha of degraded land due to mining activities, 10,263.1 ha or 41.65% of land was undergone for technical restoration and 6,781.5 ha or 27.5% of land was biologically restored. As of 2014, 2,736 mining licenses of two different purposes were issued for an area of approximately 11 mln.ha which is about 7% of the total country territory. Of which 1,391 licenses are for exploitation purposes in 1,079.9 thous.ha area and 1,345 licenses are for exploration in an area of 9.9 mln.ha. area.
</t>
        </r>
        <r>
          <rPr>
            <b/>
            <sz val="9"/>
            <color indexed="81"/>
            <rFont val="Tahoma"/>
            <family val="2"/>
          </rPr>
          <t>NBSAP-P.29:</t>
        </r>
        <r>
          <rPr>
            <sz val="9"/>
            <color indexed="81"/>
            <rFont val="Tahoma"/>
            <family val="2"/>
          </rPr>
          <t xml:space="preserve"> Researchers concluded that in 2000s only 20% of total pasture land were degraded, whilst in 2010 this number increased to 70% of total pastureland (IFAD-GEF project Mongolia: Mongolia Livestock Sector Adaptation Project, 2010).</t>
        </r>
      </text>
    </comment>
    <comment ref="AV123" authorId="1">
      <text>
        <r>
          <rPr>
            <b/>
            <sz val="9"/>
            <color indexed="81"/>
            <rFont val="Tahoma"/>
            <family val="2"/>
          </rPr>
          <t>billy.tsekos:</t>
        </r>
        <r>
          <rPr>
            <sz val="9"/>
            <color indexed="81"/>
            <rFont val="Tahoma"/>
            <family val="2"/>
          </rPr>
          <t xml:space="preserve">
</t>
        </r>
        <r>
          <rPr>
            <b/>
            <sz val="9"/>
            <color indexed="81"/>
            <rFont val="Tahoma"/>
            <family val="2"/>
          </rPr>
          <t>NBSAP-P.25:</t>
        </r>
        <r>
          <rPr>
            <sz val="9"/>
            <color indexed="81"/>
            <rFont val="Tahoma"/>
            <family val="2"/>
          </rPr>
          <t xml:space="preserve">The forest degradation directly impacts wildlife habitat and forest ecosystem services, e.g. drying up of headwaters, increased deficiency in food and firewood supply, which are indirectly influencing human development (National human development report of Mongolia, 2011). The timber produced from the forest is mainly used for heating and construction, and due to inconsistency of wood processing technology, only 27% of timber is efficiently utilized. The forest cover change dynamics showed that within last 12 years 289.2 thousand ha of forest totally lost. The non-forested land in forest land fund consists of 3476.7 ha of sparse forest stands, 1196.8 thousand ha of burnt forest, 124.1 thousand ha of cut forest, 95.7 thousand ha of forest affected by pest insect, 0.9 thousand ha of impacted by natural hazards and 3.7 thousand ha of degraded forests due to human activity (MEGD, 2012). </t>
        </r>
      </text>
    </comment>
    <comment ref="BA123" authorId="0">
      <text>
        <r>
          <rPr>
            <b/>
            <sz val="9"/>
            <color indexed="81"/>
            <rFont val="Tahoma"/>
            <family val="2"/>
          </rPr>
          <t>NBSAP-P.25 :
goal7:</t>
        </r>
        <r>
          <rPr>
            <sz val="9"/>
            <color indexed="81"/>
            <rFont val="Tahoma"/>
            <family val="2"/>
          </rPr>
          <t xml:space="preserve"> Increase forest cover  to 9% by 2025 through the improvement of forest management,  and thereby protect forest biodiversity.
</t>
        </r>
        <r>
          <rPr>
            <b/>
            <sz val="9"/>
            <color indexed="81"/>
            <rFont val="Tahoma"/>
            <family val="2"/>
          </rPr>
          <t>Goal 8:</t>
        </r>
        <r>
          <rPr>
            <sz val="9"/>
            <color indexed="81"/>
            <rFont val="Tahoma"/>
            <family val="2"/>
          </rPr>
          <t xml:space="preserve"> Introduce management techniques for the sustainable use and conservation of natural resources, especially game animal resources, by mean of utilizing the creation of partnerships between government, local citizens, and private sector.
</t>
        </r>
        <r>
          <rPr>
            <b/>
            <sz val="9"/>
            <color indexed="81"/>
            <rFont val="Tahoma"/>
            <family val="2"/>
          </rPr>
          <t>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text>
    </comment>
    <comment ref="BD123" authorId="1">
      <text>
        <r>
          <rPr>
            <b/>
            <sz val="9"/>
            <color indexed="81"/>
            <rFont val="Tahoma"/>
            <family val="2"/>
          </rPr>
          <t>billy.tsekos:</t>
        </r>
        <r>
          <rPr>
            <sz val="9"/>
            <color indexed="81"/>
            <rFont val="Tahoma"/>
            <family val="2"/>
          </rPr>
          <t xml:space="preserve">
2025</t>
        </r>
      </text>
    </comment>
    <comment ref="BH123" authorId="1">
      <text>
        <r>
          <rPr>
            <b/>
            <sz val="9"/>
            <color indexed="81"/>
            <rFont val="Tahoma"/>
            <family val="2"/>
          </rPr>
          <t>billy.tsekos:</t>
        </r>
        <r>
          <rPr>
            <sz val="9"/>
            <color indexed="81"/>
            <rFont val="Tahoma"/>
            <family val="2"/>
          </rPr>
          <t xml:space="preserve">
</t>
        </r>
        <r>
          <rPr>
            <b/>
            <sz val="9"/>
            <color indexed="81"/>
            <rFont val="Tahoma"/>
            <family val="2"/>
          </rPr>
          <t>NBSAP-P.19:</t>
        </r>
        <r>
          <rPr>
            <sz val="9"/>
            <color indexed="81"/>
            <rFont val="Tahoma"/>
            <family val="2"/>
          </rPr>
          <t xml:space="preserve"> The main factors contributing to the loss of flora and fauna in Mongolia include reduction and fragmentation of habitats, poaching, and improper usage of vulnerable and endangered species.</t>
        </r>
      </text>
    </comment>
    <comment ref="BI123" authorId="0">
      <text>
        <r>
          <rPr>
            <b/>
            <sz val="9"/>
            <color indexed="81"/>
            <rFont val="Tahoma"/>
            <family val="2"/>
          </rPr>
          <t>NBSAP-P: 23 &amp; 30
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r>
          <rPr>
            <b/>
            <sz val="9"/>
            <color indexed="81"/>
            <rFont val="Tahoma"/>
            <family val="2"/>
          </rPr>
          <t>Goal 10</t>
        </r>
        <r>
          <rPr>
            <sz val="9"/>
            <color indexed="81"/>
            <rFont val="Tahoma"/>
            <family val="2"/>
          </rPr>
          <t xml:space="preserve"> Modernize industrial farming techniques and activities to meet requirements for food safety and conservation of biodiversity in the environment’s agricultural ecosystem.</t>
        </r>
      </text>
    </comment>
    <comment ref="BP123" authorId="1">
      <text>
        <r>
          <rPr>
            <b/>
            <sz val="9"/>
            <color indexed="81"/>
            <rFont val="Tahoma"/>
            <family val="2"/>
          </rPr>
          <t>billy.tsekos:
NBSAP-P: 30</t>
        </r>
        <r>
          <rPr>
            <sz val="9"/>
            <color indexed="81"/>
            <rFont val="Tahoma"/>
            <family val="2"/>
          </rPr>
          <t xml:space="preserve">
• By 2017, economic incentives for the restoration of degraded soil, protection of soil vulnerable to climate change, and prevention of soil degradation is included in the policies and legislation of related sectors such as agriculture and mining infrastructure.
• By 2020, restoration of degraded soil, protection of soil vulnerable to climate change, and prevention of soil degradation in areas important to biodiversity is implemented.
• By 2023, a prevention of soil degradation is improved
</t>
        </r>
        <r>
          <rPr>
            <b/>
            <sz val="9"/>
            <color indexed="81"/>
            <rFont val="Tahoma"/>
            <family val="2"/>
          </rPr>
          <t>NBSAP-P: 31</t>
        </r>
        <r>
          <rPr>
            <sz val="9"/>
            <color indexed="81"/>
            <rFont val="Tahoma"/>
            <family val="2"/>
          </rPr>
          <t xml:space="preserve">
 By 2022, fallowed lands for restoration is identified and restoration activities of biodiversity important area is started</t>
        </r>
      </text>
    </comment>
    <comment ref="BX123" authorId="1">
      <text>
        <r>
          <rPr>
            <b/>
            <sz val="9"/>
            <color indexed="81"/>
            <rFont val="Tahoma"/>
            <family val="2"/>
          </rPr>
          <t>billy.tsekos:</t>
        </r>
        <r>
          <rPr>
            <sz val="9"/>
            <color indexed="81"/>
            <rFont val="Tahoma"/>
            <family val="2"/>
          </rPr>
          <t xml:space="preserve">
</t>
        </r>
        <r>
          <rPr>
            <b/>
            <sz val="9"/>
            <color indexed="81"/>
            <rFont val="Tahoma"/>
            <family val="2"/>
          </rPr>
          <t xml:space="preserve">NR-P. 11: </t>
        </r>
        <r>
          <rPr>
            <sz val="9"/>
            <color indexed="81"/>
            <rFont val="Tahoma"/>
            <family val="2"/>
          </rPr>
          <t xml:space="preserve">Desertification: The distribution of areas considered tom suffer from severe and very severe desertification changed drastically, with new additions to the category of very severe. Over 90% of pastureland in Mongolia is considered to be currently susceptible to the impacts of reduced precipitation, and ground water and overgrazing.
</t>
        </r>
        <r>
          <rPr>
            <b/>
            <sz val="9"/>
            <color indexed="81"/>
            <rFont val="Tahoma"/>
            <family val="2"/>
          </rPr>
          <t xml:space="preserve">
NR-P. 15: </t>
        </r>
        <r>
          <rPr>
            <sz val="9"/>
            <color indexed="81"/>
            <rFont val="Tahoma"/>
            <family val="2"/>
          </rPr>
          <t xml:space="preserve">The evaporation of surface water has increased by 118.1mm since 1961, while precipitation has decreased by 33.0 mm, resulting in aridity and becoming the main cause of desertification. The spring  runoff occurs a month sooner, lengthening the period during which vegetation is without snow cover. This has resulted in an increase in  soil degradation, thus the number of dust storms per day in the countryside has increased by 3-4 times since the 1960’s. 
</t>
        </r>
        <r>
          <rPr>
            <b/>
            <sz val="9"/>
            <color indexed="81"/>
            <rFont val="Tahoma"/>
            <family val="2"/>
          </rPr>
          <t xml:space="preserve">NR-P. 17 </t>
        </r>
        <r>
          <rPr>
            <sz val="9"/>
            <color indexed="81"/>
            <rFont val="Tahoma"/>
            <family val="2"/>
          </rPr>
          <t xml:space="preserve">Although mining is beneficial to a country’s development, it is one of the main causes of land degradation. Exploration projects, preparation of building materials, road construction, geological studies, construction of buildings and structures are impacting the landscape by stripping the soil, building up dirt piles and digging trenches, causing technical soil degradation. Along with this, large heavy machinery making branch roads alongside tarmacked roads in the countryside, raising dust and polluting the surrounding environment. There is a lack of restoration projects for these activities as well.
</t>
        </r>
        <r>
          <rPr>
            <b/>
            <sz val="9"/>
            <color indexed="81"/>
            <rFont val="Tahoma"/>
            <family val="2"/>
          </rPr>
          <t xml:space="preserve">
NR-P. 19 </t>
        </r>
        <r>
          <rPr>
            <sz val="9"/>
            <color indexed="81"/>
            <rFont val="Tahoma"/>
            <family val="2"/>
          </rPr>
          <t xml:space="preserve">Overgrazing has become the main source of desertification and land degradation in Mongolia. This is in part due to the lack of pastureland use management and policies.
</t>
        </r>
        <r>
          <rPr>
            <b/>
            <sz val="9"/>
            <color indexed="81"/>
            <rFont val="Tahoma"/>
            <family val="2"/>
          </rPr>
          <t xml:space="preserve">NBSAP-P.19: </t>
        </r>
        <r>
          <rPr>
            <sz val="9"/>
            <color indexed="81"/>
            <rFont val="Tahoma"/>
            <family val="2"/>
          </rPr>
          <t>The main factors contributing to the loss of flora and fauna in Mongolia include reduction and fragmentation of habitats, poaching, and improper usage of vulnerable and endangered species.</t>
        </r>
      </text>
    </comment>
    <comment ref="CH123" authorId="1">
      <text>
        <r>
          <rPr>
            <b/>
            <sz val="9"/>
            <color indexed="81"/>
            <rFont val="Tahoma"/>
            <family val="2"/>
          </rPr>
          <t>billy.tsekos:</t>
        </r>
        <r>
          <rPr>
            <sz val="9"/>
            <color indexed="81"/>
            <rFont val="Tahoma"/>
            <family val="2"/>
          </rPr>
          <t xml:space="preserve">
</t>
        </r>
        <r>
          <rPr>
            <b/>
            <sz val="9"/>
            <color indexed="81"/>
            <rFont val="Tahoma"/>
            <family val="2"/>
          </rPr>
          <t>NR-P.78:</t>
        </r>
        <r>
          <rPr>
            <sz val="9"/>
            <color indexed="81"/>
            <rFont val="Tahoma"/>
            <family val="2"/>
          </rPr>
          <t xml:space="preserve"> Mongolia became a partner of UNREDD+ and renewed the action plan for national REDD+ development integrating with Green development in 2011. The assessment of the financial value of mongolia’s forest sector and its key financial constraints was made in 2013.</t>
        </r>
      </text>
    </comment>
    <comment ref="CP123" authorId="1">
      <text>
        <r>
          <rPr>
            <b/>
            <sz val="9"/>
            <color indexed="81"/>
            <rFont val="Tahoma"/>
            <family val="2"/>
          </rPr>
          <t>billy.tsekos:</t>
        </r>
        <r>
          <rPr>
            <sz val="9"/>
            <color indexed="81"/>
            <rFont val="Tahoma"/>
            <family val="2"/>
          </rPr>
          <t xml:space="preserve">
</t>
        </r>
        <r>
          <rPr>
            <b/>
            <sz val="9"/>
            <color indexed="81"/>
            <rFont val="Tahoma"/>
            <family val="2"/>
          </rPr>
          <t xml:space="preserve">NR-P102: </t>
        </r>
        <r>
          <rPr>
            <sz val="9"/>
            <color indexed="81"/>
            <rFont val="Tahoma"/>
            <family val="2"/>
          </rPr>
          <t xml:space="preserve">Restored land will increase potential for providing ecosystem services in the form of carbon sequestration and also improve resilience to disturbances. Improved resilience will enable the system to recover from fire, flooding and pest outbreaks quicker than it would in a degraded state. </t>
        </r>
      </text>
    </comment>
    <comment ref="CQ123" authorId="1">
      <text>
        <r>
          <rPr>
            <b/>
            <sz val="9"/>
            <color indexed="81"/>
            <rFont val="Tahoma"/>
            <family val="2"/>
          </rPr>
          <t>billy.tsekos:</t>
        </r>
        <r>
          <rPr>
            <sz val="9"/>
            <color indexed="81"/>
            <rFont val="Tahoma"/>
            <family val="2"/>
          </rPr>
          <t xml:space="preserve">
</t>
        </r>
        <r>
          <rPr>
            <b/>
            <sz val="9"/>
            <color indexed="81"/>
            <rFont val="Tahoma"/>
            <family val="2"/>
          </rPr>
          <t xml:space="preserve">NR-P.103: </t>
        </r>
        <r>
          <rPr>
            <sz val="9"/>
            <color indexed="81"/>
            <rFont val="Tahoma"/>
            <family val="2"/>
          </rPr>
          <t xml:space="preserve">The Adaptation fund Adaptation of main forest ecosystems to climate change” (2012-2017)
</t>
        </r>
        <r>
          <rPr>
            <b/>
            <sz val="9"/>
            <color indexed="81"/>
            <rFont val="Tahoma"/>
            <family val="2"/>
          </rPr>
          <t>NBSAP-P: 30</t>
        </r>
        <r>
          <rPr>
            <sz val="9"/>
            <color indexed="81"/>
            <rFont val="Tahoma"/>
            <family val="2"/>
          </rPr>
          <t xml:space="preserve">
• By 2020, restoration of degraded soil, protection of soil vulnerable to climate change, and prevention of soil degradation in areas important to biodiversity is implemented.</t>
        </r>
      </text>
    </comment>
    <comment ref="CV123" authorId="1">
      <text>
        <r>
          <rPr>
            <b/>
            <sz val="9"/>
            <color indexed="81"/>
            <rFont val="Tahoma"/>
            <family val="2"/>
          </rPr>
          <t>billy.tsekos:</t>
        </r>
        <r>
          <rPr>
            <sz val="9"/>
            <color indexed="81"/>
            <rFont val="Tahoma"/>
            <family val="2"/>
          </rPr>
          <t xml:space="preserve">
</t>
        </r>
        <r>
          <rPr>
            <b/>
            <sz val="9"/>
            <color indexed="81"/>
            <rFont val="Tahoma"/>
            <family val="2"/>
          </rPr>
          <t>NR-P. 103:</t>
        </r>
        <r>
          <rPr>
            <sz val="9"/>
            <color indexed="81"/>
            <rFont val="Tahoma"/>
            <family val="2"/>
          </rPr>
          <t xml:space="preserve"> The Swiss Development Cooperation established the ‘Combating Desertification’ project (2007-2013). 
The Netherlands government established the project ‘Decreasing Desertification with Sustainable Land Management’</t>
        </r>
      </text>
    </comment>
    <comment ref="CW123" authorId="1">
      <text>
        <r>
          <rPr>
            <b/>
            <sz val="9"/>
            <color indexed="81"/>
            <rFont val="Tahoma"/>
            <family val="2"/>
          </rPr>
          <t>billy.tsekos:</t>
        </r>
        <r>
          <rPr>
            <sz val="9"/>
            <color indexed="81"/>
            <rFont val="Tahoma"/>
            <family val="2"/>
          </rPr>
          <t xml:space="preserve">
</t>
        </r>
        <r>
          <rPr>
            <b/>
            <sz val="9"/>
            <color indexed="81"/>
            <rFont val="Tahoma"/>
            <family val="2"/>
          </rPr>
          <t>NBSAP-P.9:</t>
        </r>
        <r>
          <rPr>
            <sz val="9"/>
            <color indexed="81"/>
            <rFont val="Tahoma"/>
            <family val="2"/>
          </rPr>
          <t xml:space="preserve"> Mongolia’s protected areas have been steadily increasing over the years, with 27.2 million hectares comprising from 99 protected areas, or 17.4% of the total area under protection as of 2014 (MEGDT, 2015). Of these, 20 were Strictly protected areas (12,402,429 hectares), 32 were National parks (11,711,815 hectares), 34 were Natural reserves (2,958,142 hectares), and 13 were National monuments (126,848 hectares). As of 2014, total area of nationally protected areas has been increased by 5,306,452 ha or 19.5% compared to 2008.</t>
        </r>
      </text>
    </comment>
    <comment ref="DB123" authorId="1">
      <text>
        <r>
          <rPr>
            <b/>
            <sz val="9"/>
            <color indexed="81"/>
            <rFont val="Tahoma"/>
            <family val="2"/>
          </rPr>
          <t xml:space="preserve">billy.tsekos:
5th </t>
        </r>
        <r>
          <rPr>
            <sz val="9"/>
            <color indexed="81"/>
            <rFont val="Tahoma"/>
            <family val="2"/>
          </rPr>
          <t>National report</t>
        </r>
      </text>
    </comment>
    <comment ref="DK123" authorId="1">
      <text>
        <r>
          <rPr>
            <b/>
            <sz val="9"/>
            <color indexed="81"/>
            <rFont val="Tahoma"/>
            <family val="2"/>
          </rPr>
          <t>billy.tsekos:</t>
        </r>
        <r>
          <rPr>
            <sz val="9"/>
            <color indexed="81"/>
            <rFont val="Tahoma"/>
            <family val="2"/>
          </rPr>
          <t xml:space="preserve">
Furthermore, 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
</t>
        </r>
      </text>
    </comment>
    <comment ref="DL123" authorId="1">
      <text>
        <r>
          <rPr>
            <b/>
            <sz val="9"/>
            <color indexed="81"/>
            <rFont val="Tahoma"/>
            <family val="2"/>
          </rPr>
          <t>billy.tsekos:</t>
        </r>
        <r>
          <rPr>
            <sz val="9"/>
            <color indexed="81"/>
            <rFont val="Tahoma"/>
            <family val="2"/>
          </rPr>
          <t xml:space="preserve">
Vision for adaptation: Increased adaptive capacity to overcome negative impacts of climate change, and
to strengthen resilience of ecosystem and socio-economic sectors. 
</t>
        </r>
        <r>
          <rPr>
            <b/>
            <sz val="9"/>
            <color indexed="81"/>
            <rFont val="Tahoma"/>
            <family val="2"/>
          </rPr>
          <t>Some adaptation activities under these goals will also have mitigation co-benefits:</t>
        </r>
        <r>
          <rPr>
            <sz val="9"/>
            <color indexed="81"/>
            <rFont val="Tahoma"/>
            <family val="2"/>
          </rPr>
          <t xml:space="preserve">
 Improving pasture management would increase the carbon sink of CO2 equivalent to 29 million tons per year, which is equal to 1/3 of emission reduction in energy sector.
 Reducing bare fallow to 30% in rain-fed crop land, increasing variety of crops, zero-tillage and crop
rotation would consequently increase a carbon sink.
 Increasing protected areas up to 25-30% of the total territory will help maintain natural ecosystems
and preserve water resources with a certain synergy effects for emission reduction.
 Increasing forest area up to 9.0% by 2030 and reducing forest fire affected area by 30% would
conserve ecosystems and increase carbon sink.
In general, carbon sinks of natural ecosystems will be increased with a capacity to absorb almost a half of the CO2 emissions from energy sector in the country by implementing adaptation policies in agriculture, forestry, and water resource sectors. 
</t>
        </r>
      </text>
    </comment>
    <comment ref="ER124" authorId="0">
      <text>
        <r>
          <rPr>
            <sz val="9"/>
            <color indexed="81"/>
            <rFont val="Tahoma"/>
            <family val="2"/>
          </rPr>
          <t>By 2020, the rate of loss of natural and semi-natural habitats of conservation value is at least halved, and degradation and fragmentation is significantly reduced. The percentage cover of “forests and semi-natural areas” has not decreased below the CORINE land cover data of 2006.</t>
        </r>
      </text>
    </comment>
    <comment ref="G125" authorId="2">
      <text>
        <r>
          <rPr>
            <b/>
            <sz val="9"/>
            <color indexed="81"/>
            <rFont val="Tahoma"/>
            <family val="2"/>
          </rPr>
          <t>Billy Tsekos:</t>
        </r>
        <r>
          <rPr>
            <sz val="9"/>
            <color indexed="81"/>
            <rFont val="Tahoma"/>
            <family val="2"/>
          </rPr>
          <t xml:space="preserve">
2016</t>
        </r>
      </text>
    </comment>
    <comment ref="Z125" authorId="2">
      <text>
        <r>
          <rPr>
            <b/>
            <sz val="9"/>
            <color indexed="81"/>
            <rFont val="Tahoma"/>
            <family val="2"/>
          </rPr>
          <t>Billy Tsekos:</t>
        </r>
        <r>
          <rPr>
            <sz val="9"/>
            <color indexed="81"/>
            <rFont val="Tahoma"/>
            <family val="2"/>
          </rPr>
          <t xml:space="preserve">
</t>
        </r>
        <r>
          <rPr>
            <b/>
            <sz val="9"/>
            <color indexed="81"/>
            <rFont val="Tahoma"/>
            <family val="2"/>
          </rPr>
          <t>NR-P.30:</t>
        </r>
        <r>
          <rPr>
            <sz val="9"/>
            <color indexed="81"/>
            <rFont val="Tahoma"/>
            <family val="2"/>
          </rPr>
          <t xml:space="preserve"> Le domaine forestier marocain, s’étend sur une superficie de 9 millions d'hectares y compris les nappes alfatières. Les formations forestières arborées couvrent 5.800.000 ha, avec 78 % de feuillues.
</t>
        </r>
        <r>
          <rPr>
            <b/>
            <sz val="9"/>
            <color indexed="81"/>
            <rFont val="Tahoma"/>
            <family val="2"/>
          </rPr>
          <t xml:space="preserve">NR-P.30: </t>
        </r>
        <r>
          <rPr>
            <sz val="9"/>
            <color indexed="81"/>
            <rFont val="Tahoma"/>
            <family val="2"/>
          </rPr>
          <t xml:space="preserve">Le taux moyen de couverture forestière du pays est de l’ordre de 8%, variant selon les régions forestières de 4 % dans les provinces du Sud à plus 40 % dans les régions du Rif et du Moyen Atlas. Les capacités productives Figure 3. Évolution de la SAU totale et irriguée par habitant Cinquième rapport national sur la mise en œuvre de la Convention sur la Diversité Biologique 31 ligneuses de la forêt marocaine, à l’image de la forêt méditerranéenne, sont relativement limitées. La production moyenne varie de 1 à 5 m3/ha/an selon les bioclimats, les essences et les milieux.
</t>
        </r>
      </text>
    </comment>
    <comment ref="AH125" authorId="2">
      <text>
        <r>
          <rPr>
            <b/>
            <sz val="9"/>
            <color indexed="81"/>
            <rFont val="Tahoma"/>
            <family val="2"/>
          </rPr>
          <t>Billy Tsekos:
NR-P.31:</t>
        </r>
        <r>
          <rPr>
            <sz val="9"/>
            <color indexed="81"/>
            <rFont val="Tahoma"/>
            <family val="2"/>
          </rPr>
          <t xml:space="preserve"> La surface totale forestière régresse annuellement de 25 000 ha en moyenne. </t>
        </r>
        <r>
          <rPr>
            <b/>
            <sz val="9"/>
            <color indexed="81"/>
            <rFont val="Tahoma"/>
            <family val="2"/>
          </rPr>
          <t xml:space="preserve">
</t>
        </r>
        <r>
          <rPr>
            <sz val="9"/>
            <color indexed="81"/>
            <rFont val="Tahoma"/>
            <family val="2"/>
          </rPr>
          <t xml:space="preserve">
</t>
        </r>
        <r>
          <rPr>
            <b/>
            <sz val="9"/>
            <color indexed="81"/>
            <rFont val="Tahoma"/>
            <family val="2"/>
          </rPr>
          <t>NBSAP-P.31:</t>
        </r>
        <r>
          <rPr>
            <sz val="9"/>
            <color indexed="81"/>
            <rFont val="Tahoma"/>
            <family val="2"/>
          </rPr>
          <t xml:space="preserve"> Par conséquent, la disponibilité de la surface agricole utile (SAU) par habitant connaît une tendance à la baisse, étant passée de 0.32 ha/habitant en 1960 à 0.35 ha/habitant en 1990, en faveur du défrichement et de l’extension des zones de culture. On estime que cette surface agricole utile ne sera plus que de 0.22 ha/
habitant en l’an 2025 . La figure 5 donne la progression du taux d’urbanisation (Population urbaine) de 1985 à 2015, ayant passé de 44,9% à 60% actuellement</t>
        </r>
      </text>
    </comment>
    <comment ref="AO125" authorId="2">
      <text>
        <r>
          <rPr>
            <b/>
            <sz val="9"/>
            <color indexed="81"/>
            <rFont val="Tahoma"/>
            <family val="2"/>
          </rPr>
          <t>Billy Tsekos:</t>
        </r>
        <r>
          <rPr>
            <sz val="9"/>
            <color indexed="81"/>
            <rFont val="Tahoma"/>
            <family val="2"/>
          </rPr>
          <t xml:space="preserve">
</t>
        </r>
        <r>
          <rPr>
            <b/>
            <sz val="9"/>
            <color indexed="81"/>
            <rFont val="Tahoma"/>
            <family val="2"/>
          </rPr>
          <t xml:space="preserve">NR-P.30: </t>
        </r>
        <r>
          <rPr>
            <sz val="9"/>
            <color indexed="81"/>
            <rFont val="Tahoma"/>
            <family val="2"/>
          </rPr>
          <t xml:space="preserve">C’est ainsi que la connaissance et la quantification de la déforestation ont permis, dans l’ensemble des régions du pays, de mieux appréhender ce processus. Dans la région du Rif, l’analyse à partir de photographies aériennes (1966 et 1986) a permis d’évaluer le recul de la forêt à l’équivalent de 5000 ha/an, soit un taux de recul de 35 %.
</t>
        </r>
        <r>
          <rPr>
            <b/>
            <sz val="9"/>
            <color indexed="81"/>
            <rFont val="Tahoma"/>
            <family val="2"/>
          </rPr>
          <t xml:space="preserve">
NR-P.44:</t>
        </r>
        <r>
          <rPr>
            <sz val="9"/>
            <color indexed="81"/>
            <rFont val="Tahoma"/>
            <family val="2"/>
          </rPr>
          <t xml:space="preserve">  la superficie des terres potentiellement menacée par la salinité est de l’ordre de500.000 ha. </t>
        </r>
      </text>
    </comment>
    <comment ref="AV125" authorId="2">
      <text>
        <r>
          <rPr>
            <b/>
            <sz val="9"/>
            <color indexed="81"/>
            <rFont val="Tahoma"/>
            <family val="2"/>
          </rPr>
          <t>Billy Tsekos:</t>
        </r>
        <r>
          <rPr>
            <sz val="9"/>
            <color indexed="81"/>
            <rFont val="Tahoma"/>
            <family val="2"/>
          </rPr>
          <t xml:space="preserve">
</t>
        </r>
        <r>
          <rPr>
            <b/>
            <sz val="9"/>
            <color indexed="81"/>
            <rFont val="Tahoma"/>
            <family val="2"/>
          </rPr>
          <t xml:space="preserve">NBSAP-P.20: </t>
        </r>
        <r>
          <rPr>
            <sz val="9"/>
            <color indexed="81"/>
            <rFont val="Tahoma"/>
            <family val="2"/>
          </rPr>
          <t xml:space="preserve">Érosion hydrique : Elle engendre la destruction de la structure du sol et la réduction de sa profondeur, ainsi que des pertes d’engrais et de matière organique, par le sapage des couches arables, notamment en zones de fortes pentes. La dégradation spécifique des sols par l’érosion hydrique dépasse souvent 4000 tonnes/km2/an dans le Rif et le pré Rif. La figure 2 ci-après, illustre les pertes en terre au Maroc, selon les régions. </t>
        </r>
      </text>
    </comment>
    <comment ref="BA125" authorId="2">
      <text>
        <r>
          <rPr>
            <b/>
            <sz val="9"/>
            <color indexed="81"/>
            <rFont val="Tahoma"/>
            <family val="2"/>
          </rPr>
          <t>Billy Tsekos:</t>
        </r>
        <r>
          <rPr>
            <sz val="9"/>
            <color indexed="81"/>
            <rFont val="Tahoma"/>
            <family val="2"/>
          </rPr>
          <t xml:space="preserve">
Établir une liste rouge nationale des habitats et mettre en place des plans priorisés de sauvegarde des habitats les plus menacés du pays, notamment les zones humides.</t>
        </r>
      </text>
    </comment>
    <comment ref="BH125" authorId="2">
      <text>
        <r>
          <rPr>
            <b/>
            <sz val="9"/>
            <color indexed="81"/>
            <rFont val="Tahoma"/>
            <family val="2"/>
          </rPr>
          <t>Billy Tsekos:</t>
        </r>
        <r>
          <rPr>
            <sz val="9"/>
            <color indexed="81"/>
            <rFont val="Tahoma"/>
            <family val="2"/>
          </rPr>
          <t xml:space="preserve">
</t>
        </r>
        <r>
          <rPr>
            <b/>
            <sz val="9"/>
            <color indexed="81"/>
            <rFont val="Tahoma"/>
            <family val="2"/>
          </rPr>
          <t>NBSAP-P.29:</t>
        </r>
        <r>
          <rPr>
            <sz val="9"/>
            <color indexed="81"/>
            <rFont val="Tahoma"/>
            <family val="2"/>
          </rPr>
          <t xml:space="preserve">  La fragmentation des écosystèmes et l’artificialisation des sols interrompent des continuités écologiques nécessaires pour que les espèces puissent migrer ou se déplacer entre les différentes zones qu’elles utilisent et pour que les populations d’une même espèce puissent échanger des individus. </t>
        </r>
      </text>
    </comment>
    <comment ref="BI125" authorId="2">
      <text>
        <r>
          <rPr>
            <b/>
            <sz val="9"/>
            <color indexed="81"/>
            <rFont val="Tahoma"/>
            <family val="2"/>
          </rPr>
          <t>Billy Tsekos:</t>
        </r>
        <r>
          <rPr>
            <sz val="9"/>
            <color indexed="81"/>
            <rFont val="Tahoma"/>
            <family val="2"/>
          </rPr>
          <t xml:space="preserve">
</t>
        </r>
        <r>
          <rPr>
            <b/>
            <sz val="9"/>
            <color indexed="81"/>
            <rFont val="Tahoma"/>
            <family val="2"/>
          </rPr>
          <t>NBSAP-p.52:</t>
        </r>
        <r>
          <rPr>
            <sz val="9"/>
            <color indexed="81"/>
            <rFont val="Tahoma"/>
            <family val="2"/>
          </rPr>
          <t xml:space="preserve">   Prendre les mesures nécessaires en vue d’augmenter la résilience des écosystèmes et la contribution de la biodiversité aux stocks de carbone, notamment au moyen de la conservation et de la restauration, des mesures d’atténuation et d’adaptation aux changements climatiques, et de la synergie avec les actions prises dans le cadre des autres conventions de Rio (Changements climatiques et lutte contre la désertification).</t>
        </r>
      </text>
    </comment>
    <comment ref="BP125" authorId="2">
      <text>
        <r>
          <rPr>
            <b/>
            <sz val="9"/>
            <color indexed="81"/>
            <rFont val="Tahoma"/>
            <family val="2"/>
          </rPr>
          <t>Billy Tsekos:</t>
        </r>
        <r>
          <rPr>
            <sz val="9"/>
            <color indexed="81"/>
            <rFont val="Tahoma"/>
            <family val="2"/>
          </rPr>
          <t xml:space="preserve">
</t>
        </r>
        <r>
          <rPr>
            <b/>
            <sz val="9"/>
            <color indexed="81"/>
            <rFont val="Tahoma"/>
            <family val="2"/>
          </rPr>
          <t xml:space="preserve">NBSAP-P.35: </t>
        </r>
        <r>
          <rPr>
            <sz val="9"/>
            <color indexed="81"/>
            <rFont val="Tahoma"/>
            <family val="2"/>
          </rPr>
          <t xml:space="preserve">FIGURE 6: SUPERFICIES FORESTIERES REBOISEES ANNUELLEMENT
</t>
        </r>
        <r>
          <rPr>
            <b/>
            <sz val="9"/>
            <color indexed="81"/>
            <rFont val="Tahoma"/>
            <family val="2"/>
          </rPr>
          <t>NBSAP-P.112:</t>
        </r>
        <r>
          <rPr>
            <sz val="9"/>
            <color indexed="81"/>
            <rFont val="Tahoma"/>
            <family val="2"/>
          </rPr>
          <t xml:space="preserve"> L’inversion des tendances actuelles de la dégradation du couvert forestier par le reboisement, la régénération et l’amélioration sylvo-pastorale sur 500.000 ha.
Évolution de la superficie des écosystèmes dégradés qui ont été restaurés ou en cours de restauration.</t>
        </r>
      </text>
    </comment>
    <comment ref="BT125" authorId="2">
      <text>
        <r>
          <rPr>
            <b/>
            <sz val="9"/>
            <color indexed="81"/>
            <rFont val="Tahoma"/>
            <family val="2"/>
          </rPr>
          <t>Billy Tsekos:</t>
        </r>
        <r>
          <rPr>
            <sz val="9"/>
            <color indexed="81"/>
            <rFont val="Tahoma"/>
            <family val="2"/>
          </rPr>
          <t xml:space="preserve">
</t>
        </r>
        <r>
          <rPr>
            <b/>
            <sz val="9"/>
            <color indexed="81"/>
            <rFont val="Tahoma"/>
            <family val="2"/>
          </rPr>
          <t>NBSAP-P.112:</t>
        </r>
        <r>
          <rPr>
            <sz val="9"/>
            <color indexed="81"/>
            <rFont val="Tahoma"/>
            <family val="2"/>
          </rPr>
          <t xml:space="preserve"> L’inversion des tendances actuelles de la dégradation du couvert forestier par le reboisement, la régénération et l’amélioration sylvo-pastorale sur 500.000 ha.</t>
        </r>
      </text>
    </comment>
    <comment ref="BX125" authorId="2">
      <text>
        <r>
          <rPr>
            <b/>
            <sz val="9"/>
            <color indexed="81"/>
            <rFont val="Tahoma"/>
            <family val="2"/>
          </rPr>
          <t>Billy Tsekos:</t>
        </r>
        <r>
          <rPr>
            <sz val="9"/>
            <color indexed="81"/>
            <rFont val="Tahoma"/>
            <family val="2"/>
          </rPr>
          <t xml:space="preserve">
</t>
        </r>
        <r>
          <rPr>
            <b/>
            <sz val="9"/>
            <color indexed="81"/>
            <rFont val="Tahoma"/>
            <family val="2"/>
          </rPr>
          <t>NBSAP-P.11:</t>
        </r>
        <r>
          <rPr>
            <sz val="9"/>
            <color indexed="81"/>
            <rFont val="Tahoma"/>
            <family val="2"/>
          </rPr>
          <t xml:space="preserve"> Les causes principales de la perte de biodiversité sont la fragmentation, la dégradation et la perte des habitats, la pollution, la mauvaise gestion de l’eau, les espèces envahissantes, la surexploitation et le changement climatique. Les interactions et les combinaisons entre ces pressions permettent d’expliquer la situation actuelle des espèces et des espaces au Maroc.
</t>
        </r>
        <r>
          <rPr>
            <b/>
            <sz val="9"/>
            <color indexed="81"/>
            <rFont val="Tahoma"/>
            <family val="2"/>
          </rPr>
          <t xml:space="preserve">
NBSAP-P.19</t>
        </r>
        <r>
          <rPr>
            <sz val="9"/>
            <color indexed="81"/>
            <rFont val="Tahoma"/>
            <family val="2"/>
          </rPr>
          <t xml:space="preserve">: À cette diversité du relief et du climat correspond une grande diversité bioécologique et une diversité des sols, dominée par la présence, sur de grandes étendues, de sols en pentes et souvent soumis à diverses manifestations de déperdition et de dégradation. L’on doit reconnaître que l’une des sources de vulnérabilité de la biodiversité marocaine est due à la qualité des sols du territoire national et leur relative faible aptitude à permettre et à maintenir une biomasse et une biodiversité abondante, riche et bien portante. </t>
        </r>
      </text>
    </comment>
    <comment ref="CH12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Développer une stratégie nationale REDD+.
</t>
        </r>
      </text>
    </comment>
    <comment ref="CK125" authorId="2">
      <text>
        <r>
          <rPr>
            <b/>
            <sz val="9"/>
            <color indexed="81"/>
            <rFont val="Tahoma"/>
            <family val="2"/>
          </rPr>
          <t>Billy Tsekos:</t>
        </r>
        <r>
          <rPr>
            <sz val="9"/>
            <color indexed="81"/>
            <rFont val="Tahoma"/>
            <family val="2"/>
          </rPr>
          <t xml:space="preserve">
</t>
        </r>
        <r>
          <rPr>
            <b/>
            <sz val="9"/>
            <color indexed="81"/>
            <rFont val="Tahoma"/>
            <family val="2"/>
          </rPr>
          <t xml:space="preserve">NR:P19- </t>
        </r>
        <r>
          <rPr>
            <sz val="9"/>
            <color indexed="81"/>
            <rFont val="Tahoma"/>
            <family val="2"/>
          </rPr>
          <t>Séquestration du carbone (23 millions de tonnes de co2), évalués sur le marché international à près de 4 milliards de DH.</t>
        </r>
      </text>
    </comment>
    <comment ref="CP125"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Améliorer les connaissances sur la résilience des écosystèmes face aux changements climatiques et développer et appliquer les indicateurs pour son suivi -évaluation. </t>
        </r>
      </text>
    </comment>
    <comment ref="CQ125" authorId="2">
      <text>
        <r>
          <rPr>
            <b/>
            <sz val="9"/>
            <color indexed="81"/>
            <rFont val="Tahoma"/>
            <family val="2"/>
          </rPr>
          <t>Billy Tsekos:</t>
        </r>
        <r>
          <rPr>
            <sz val="9"/>
            <color indexed="81"/>
            <rFont val="Tahoma"/>
            <family val="2"/>
          </rPr>
          <t xml:space="preserve">
</t>
        </r>
        <r>
          <rPr>
            <b/>
            <sz val="9"/>
            <color indexed="81"/>
            <rFont val="Tahoma"/>
            <family val="2"/>
          </rPr>
          <t xml:space="preserve">NBSAP-P:19: </t>
        </r>
        <r>
          <rPr>
            <sz val="9"/>
            <color indexed="81"/>
            <rFont val="Tahoma"/>
            <family val="2"/>
          </rPr>
          <t xml:space="preserve">Cette position géographique particulière lui confère une gamme remarquable de bioclimats très variés, allant d’un climat humide et subhumide au climat saharien et désertique en passant par les climats arides, semi-arides et de haute montagne dans le Rif, le Moyen et le Haut Atlas, où les altitudes dépassent respectivement 2 500, 3 000 et 4 000 mètres.
À cette diversité du relief et du climat correspond une grande diversité bioécologique et une diversité des sols, dominée par la présence, sur de grandes étendues, de sols en pentes et souvent soumis à diverses manifestations de déperdition et de dégradation. L’on doit reconnaître que l’une des sources de vulnérabilité de la biodiversité marocaine est due à la qualité des sols du territoire national et leur relative faible aptitude à permettre et à maintenir une biomasse et une biodiversité abondante, riche et bien portante. 
</t>
        </r>
        <r>
          <rPr>
            <b/>
            <sz val="9"/>
            <color indexed="81"/>
            <rFont val="Tahoma"/>
            <family val="2"/>
          </rPr>
          <t>NBSAP-p:62:</t>
        </r>
        <r>
          <rPr>
            <sz val="9"/>
            <color indexed="81"/>
            <rFont val="Tahoma"/>
            <family val="2"/>
          </rPr>
          <t xml:space="preserve"> Programmes ACCN («Adaptation au Changement Climatique, Valorisation de la Biodiversité et mise en œuvre du Protocole de Nagoya»).
Des initiatives sont engagées, avec la collaboration de la GIZ, pour l’accès au Fonds Vert Climat (FVC), en
renforcement des actions d’adaptation au climat.
</t>
        </r>
        <r>
          <rPr>
            <b/>
            <sz val="9"/>
            <color indexed="81"/>
            <rFont val="Tahoma"/>
            <family val="2"/>
          </rPr>
          <t>NBSAP-p:72:</t>
        </r>
        <r>
          <rPr>
            <sz val="9"/>
            <color indexed="81"/>
            <rFont val="Tahoma"/>
            <family val="2"/>
          </rPr>
          <t xml:space="preserve"> Le Plan National de Lutte contre le Réchauffement Climatique (PNLCRC), </t>
        </r>
      </text>
    </comment>
    <comment ref="CV125" authorId="2">
      <text>
        <r>
          <rPr>
            <b/>
            <sz val="9"/>
            <color indexed="81"/>
            <rFont val="Tahoma"/>
            <family val="2"/>
          </rPr>
          <t xml:space="preserve">Billy Tsekos:
NBSAP-P.69: </t>
        </r>
        <r>
          <rPr>
            <sz val="9"/>
            <color indexed="81"/>
            <rFont val="Tahoma"/>
            <family val="2"/>
          </rPr>
          <t>CARTE DES ZONES HOMOGENES POUR LA SENSIBILITE A LA DESERTIFICATION 
Programme d’action national de lutte contre la
désertification</t>
        </r>
      </text>
    </comment>
    <comment ref="CW125" authorId="2">
      <text>
        <r>
          <rPr>
            <b/>
            <sz val="9"/>
            <color indexed="81"/>
            <rFont val="Tahoma"/>
            <family val="2"/>
          </rPr>
          <t>Billy Tsekos:</t>
        </r>
        <r>
          <rPr>
            <sz val="9"/>
            <color indexed="81"/>
            <rFont val="Tahoma"/>
            <family val="2"/>
          </rPr>
          <t xml:space="preserve">
</t>
        </r>
        <r>
          <rPr>
            <b/>
            <sz val="9"/>
            <color indexed="81"/>
            <rFont val="Tahoma"/>
            <family val="2"/>
          </rPr>
          <t>NBSAP-P.115</t>
        </r>
      </text>
    </comment>
    <comment ref="BA126" authorId="0">
      <text>
        <r>
          <rPr>
            <sz val="9"/>
            <color indexed="81"/>
            <rFont val="Tahoma"/>
            <family val="2"/>
          </rPr>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r>
      </text>
    </comment>
    <comment ref="BI126" authorId="0">
      <text>
        <r>
          <rPr>
            <sz val="9"/>
            <color indexed="81"/>
            <rFont val="Tahoma"/>
            <family val="2"/>
          </rPr>
          <t xml:space="preserve">(pg. 128) This target is partially
incorporated into the NBSAP
2003- 2010, and include the
following national target:
i) Existence of a program for
the rehabilitation and
restoration of degraded
ecosystems
</t>
        </r>
      </text>
    </comment>
    <comment ref="Z127" authorId="1">
      <text>
        <r>
          <rPr>
            <b/>
            <sz val="9"/>
            <color indexed="81"/>
            <rFont val="Tahoma"/>
            <family val="2"/>
          </rPr>
          <t>billy.tsekos:</t>
        </r>
        <r>
          <rPr>
            <sz val="9"/>
            <color indexed="81"/>
            <rFont val="Tahoma"/>
            <family val="2"/>
          </rPr>
          <t xml:space="preserve">
</t>
        </r>
        <r>
          <rPr>
            <b/>
            <sz val="9"/>
            <color indexed="81"/>
            <rFont val="Tahoma"/>
            <family val="2"/>
          </rPr>
          <t>NBSAP-P.5:</t>
        </r>
        <r>
          <rPr>
            <sz val="9"/>
            <color indexed="81"/>
            <rFont val="Tahoma"/>
            <family val="2"/>
          </rPr>
          <t xml:space="preserve"> Forests constitute the dominant ecosystem in Myanmar, with 45 per cent of the country ecologically classified as forest (FAO 2015). Furthermore, as a result of a wide altitudinal range, with corresponding variation in climatic conditions, the country supports a range of forest types and vegetation zones. Broadly speaking, forests in Myanmar can be categorized into the types shown in Figure 5· These include the extensive teak forests for which Myanmar is renowned. In addition, one of the largest homogenous bamboo stands in the world is found in Rakhine State, covering an area of over 7,770 km2. 
</t>
        </r>
        <r>
          <rPr>
            <b/>
            <sz val="9"/>
            <color indexed="81"/>
            <rFont val="Tahoma"/>
            <family val="2"/>
          </rPr>
          <t>NBSAP-P.23:</t>
        </r>
        <r>
          <rPr>
            <sz val="9"/>
            <color indexed="81"/>
            <rFont val="Tahoma"/>
            <family val="2"/>
          </rPr>
          <t xml:space="preserve"> Forest Policy (1995) ensures that Myanmar's forest resources and biodiversity are managed sustainably to provide a wide range of social, economic and environmental benefits, and aims to maintain 30 per cent of the country's total land area under Reserved Forests and Public Protected Forest and 5 per cent of total land area as Protected Areas. The 30-year National Forestry Sector Master Plan (2001/02 to 2030/31 ), prepared in the year 2000, has a goal of expanding PAs to 1 o per cent of the country's total land area. </t>
        </r>
      </text>
    </comment>
    <comment ref="AH127" authorId="1">
      <text>
        <r>
          <rPr>
            <b/>
            <sz val="9"/>
            <color indexed="81"/>
            <rFont val="Tahoma"/>
            <family val="2"/>
          </rPr>
          <t xml:space="preserve">billy.tsekos:
NBSAP-P.46: </t>
        </r>
        <r>
          <rPr>
            <sz val="9"/>
            <color indexed="81"/>
            <rFont val="Tahoma"/>
            <family val="2"/>
          </rPr>
          <t>Forest cover figures are available from a variety of sources, including recent unofficial figures from research institutions and NGOs. The Smithsonian Institution reports a loss of 12,000 km2 of forest of all types between 1990 and 2000. Global Forest Watch (GFW) reports a loss of 15,000 km2 of forest between 2001 and 2012, indicating an acceleration of forest loss, peaking at 2,162 km2 in 2009. Over half the loss occurred in Kachin and Shan States and Sagaing and Taninthayi Regions. Two of the most threatened, economically valuable, and biologically important forest types are dry mixed deciduous and mangrove forests. 
According to a 2015 Forest Trends report {Woods 2015), forest clearing for the expansion of commercial agriculture is now the leading cause of deforestation. While this process has been occurring for many decades, the current rate of forest conversion for agriculture is unprecedented. Concessions were issued for 16 km2 of oil palm and rubber plantations within the PFE in 2013-2014.</t>
        </r>
        <r>
          <rPr>
            <b/>
            <sz val="9"/>
            <color indexed="81"/>
            <rFont val="Tahoma"/>
            <family val="2"/>
          </rPr>
          <t xml:space="preserve">
</t>
        </r>
        <r>
          <rPr>
            <sz val="9"/>
            <color indexed="81"/>
            <rFont val="Tahoma"/>
            <family val="2"/>
          </rPr>
          <t xml:space="preserve">
</t>
        </r>
        <r>
          <rPr>
            <b/>
            <sz val="9"/>
            <color indexed="81"/>
            <rFont val="Tahoma"/>
            <family val="2"/>
          </rPr>
          <t>NBSAP-P.47:</t>
        </r>
        <r>
          <rPr>
            <sz val="9"/>
            <color indexed="81"/>
            <rFont val="Tahoma"/>
            <family val="2"/>
          </rPr>
          <t xml:space="preserve">Myanmar has the third largest area of mangroves in Southeast Asia (after Indonesia and Malaysia). However, a 2014 NASA study showed a significant decline in mangrove cover between 2000 and 2013, particularly in Rakhine State and Ayeyawady Region (Table 15). 
</t>
        </r>
        <r>
          <rPr>
            <b/>
            <sz val="9"/>
            <color indexed="81"/>
            <rFont val="Tahoma"/>
            <family val="2"/>
          </rPr>
          <t>NBSAP-P.49:</t>
        </r>
        <r>
          <rPr>
            <sz val="9"/>
            <color indexed="81"/>
            <rFont val="Tahoma"/>
            <family val="2"/>
          </rPr>
          <t xml:space="preserve"> Map of Forest cover change between 2002 and 2014 (provisional). 
</t>
        </r>
        <r>
          <rPr>
            <b/>
            <sz val="9"/>
            <color indexed="81"/>
            <rFont val="Tahoma"/>
            <family val="2"/>
          </rPr>
          <t xml:space="preserve">NBSAP-P.50: </t>
        </r>
        <r>
          <rPr>
            <sz val="9"/>
            <color indexed="81"/>
            <rFont val="Tahoma"/>
            <family val="2"/>
          </rPr>
          <t xml:space="preserve">Figure 11: FRA forest cover between 1990 and 2015. </t>
        </r>
      </text>
    </comment>
    <comment ref="AV127"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While average annual deforestation is relatively low, this is largely a function of the large areas of remote forest in southern and northern Myanmar. Virtually all of Myanmar's more accessible forests are shrinking rapidly in both extent and quality. The FRA shows forest cover declining from 58% in 1990 to 45% in 2015 (see Targets, Box 2). The reduction in forest quality is even more serious from a biodiversity and livelihoods perspective. </t>
        </r>
      </text>
    </comment>
    <comment ref="BA127" authorId="0">
      <text>
        <r>
          <rPr>
            <b/>
            <sz val="9"/>
            <color indexed="81"/>
            <rFont val="Tahoma"/>
            <family val="2"/>
          </rPr>
          <t>Billy Tsekos:
(NBSAP-P.51)</t>
        </r>
        <r>
          <rPr>
            <sz val="9"/>
            <color indexed="81"/>
            <rFont val="Tahoma"/>
            <family val="2"/>
          </rPr>
          <t xml:space="preserve">
</t>
        </r>
        <r>
          <rPr>
            <b/>
            <sz val="9"/>
            <color indexed="81"/>
            <rFont val="Tahoma"/>
            <family val="2"/>
          </rPr>
          <t xml:space="preserve">Target 5.1: </t>
        </r>
        <r>
          <rPr>
            <sz val="9"/>
            <color indexed="81"/>
            <rFont val="Tahoma"/>
            <family val="2"/>
          </rPr>
          <t xml:space="preserve"> By 2020, at least 10% of DMDF and mangrove forest has been put under some form of protection, including sustainable use and management. 
</t>
        </r>
        <r>
          <rPr>
            <b/>
            <sz val="9"/>
            <color indexed="81"/>
            <rFont val="Tahoma"/>
            <family val="2"/>
          </rPr>
          <t>Target 5.2:</t>
        </r>
        <r>
          <rPr>
            <sz val="9"/>
            <color indexed="81"/>
            <rFont val="Tahoma"/>
            <family val="2"/>
          </rPr>
          <t xml:space="preserve">  By 2018, the PFE will have been re-assessed. 
</t>
        </r>
        <r>
          <rPr>
            <b/>
            <sz val="9"/>
            <color indexed="81"/>
            <rFont val="Tahoma"/>
            <family val="2"/>
          </rPr>
          <t>Target 5.3:</t>
        </r>
        <r>
          <rPr>
            <sz val="9"/>
            <color indexed="81"/>
            <rFont val="Tahoma"/>
            <family val="2"/>
          </rPr>
          <t xml:space="preserve">  By 2020, all wetland areas surveyed and prioritized for conservation value. 
</t>
        </r>
        <r>
          <rPr>
            <b/>
            <sz val="9"/>
            <color indexed="81"/>
            <rFont val="Tahoma"/>
            <family val="2"/>
          </rPr>
          <t>Target 5.4:</t>
        </r>
        <r>
          <rPr>
            <sz val="9"/>
            <color indexed="81"/>
            <rFont val="Tahoma"/>
            <family val="2"/>
          </rPr>
          <t xml:space="preserve">  By 2020, all wetland areas surveyed and prioritized for conservation value. 
</t>
        </r>
        <r>
          <rPr>
            <b/>
            <sz val="9"/>
            <color indexed="81"/>
            <rFont val="Tahoma"/>
            <family val="2"/>
          </rPr>
          <t xml:space="preserve">Target 5.5: </t>
        </r>
        <r>
          <rPr>
            <sz val="9"/>
            <color indexed="81"/>
            <rFont val="Tahoma"/>
            <family val="2"/>
          </rPr>
          <t xml:space="preserve">By 2020, negotiation phase to sign Forest Law Enforcement Governance and Trade (FLEGT) and Voluntary Partnership Agreement{VPA ) a FLEGT VPA has been conducted.
</t>
        </r>
      </text>
    </comment>
    <comment ref="BD127" authorId="1">
      <text>
        <r>
          <rPr>
            <b/>
            <sz val="9"/>
            <color indexed="81"/>
            <rFont val="Tahoma"/>
            <family val="2"/>
          </rPr>
          <t>billy.tsekos:</t>
        </r>
        <r>
          <rPr>
            <sz val="9"/>
            <color indexed="81"/>
            <rFont val="Tahoma"/>
            <family val="2"/>
          </rPr>
          <t xml:space="preserve">
2020</t>
        </r>
      </text>
    </comment>
    <comment ref="BH127" authorId="1">
      <text>
        <r>
          <rPr>
            <b/>
            <sz val="9"/>
            <color indexed="81"/>
            <rFont val="Tahoma"/>
            <family val="2"/>
          </rPr>
          <t>billy.tsekos:</t>
        </r>
        <r>
          <rPr>
            <sz val="9"/>
            <color indexed="81"/>
            <rFont val="Tahoma"/>
            <family val="2"/>
          </rPr>
          <t xml:space="preserve">
</t>
        </r>
        <r>
          <rPr>
            <b/>
            <sz val="9"/>
            <color indexed="81"/>
            <rFont val="Tahoma"/>
            <family val="2"/>
          </rPr>
          <t>NBSAP-P.86:</t>
        </r>
        <r>
          <rPr>
            <sz val="9"/>
            <color indexed="81"/>
            <rFont val="Tahoma"/>
            <family val="2"/>
          </rPr>
          <t xml:space="preserve"> Several other globally threatened species are found in Myanmar with very fragmented populations, often falling outside the PA network. For these wide-ranging species, landscape level planning that maintains connectivity between forest fragments is essential. 
</t>
        </r>
        <r>
          <rPr>
            <b/>
            <sz val="9"/>
            <color indexed="81"/>
            <rFont val="Tahoma"/>
            <family val="2"/>
          </rPr>
          <t xml:space="preserve">
NBSAP-P.87: Action 12.1.3 </t>
        </r>
        <r>
          <rPr>
            <sz val="9"/>
            <color indexed="81"/>
            <rFont val="Tahoma"/>
            <family val="2"/>
          </rPr>
          <t xml:space="preserve">Integrate conservation of wide-ranging species and species FD with very fragmented distributions into local, regional and national landscape planning 
</t>
        </r>
        <r>
          <rPr>
            <b/>
            <sz val="9"/>
            <color indexed="81"/>
            <rFont val="Tahoma"/>
            <family val="2"/>
          </rPr>
          <t>NBSAP-P.104:</t>
        </r>
        <r>
          <rPr>
            <sz val="9"/>
            <color indexed="81"/>
            <rFont val="Tahoma"/>
            <family val="2"/>
          </rPr>
          <t>The recognition of customary tenure and traditional systems of governance is fundamental to the promotion of traditional practices that benefit conservation and encourage sustainable use of resources. Sustainable shifting taungya, also called swidden or rotational agriculture, is a complex rotational agroforestry system that maintains the bulk of crop genetic diversity worldwide, includes secondary forest that can improve connectivity between forest fragment</t>
        </r>
      </text>
    </comment>
    <comment ref="BI127" authorId="1">
      <text>
        <r>
          <rPr>
            <b/>
            <sz val="9"/>
            <color indexed="81"/>
            <rFont val="Tahoma"/>
            <family val="2"/>
          </rPr>
          <t>billy.tsekos:</t>
        </r>
        <r>
          <rPr>
            <sz val="9"/>
            <color indexed="81"/>
            <rFont val="Tahoma"/>
            <family val="2"/>
          </rPr>
          <t xml:space="preserve">
</t>
        </r>
        <r>
          <rPr>
            <b/>
            <sz val="9"/>
            <color indexed="81"/>
            <rFont val="Tahoma"/>
            <family val="2"/>
          </rPr>
          <t>NBSAP-P.99:</t>
        </r>
        <r>
          <rPr>
            <sz val="9"/>
            <color indexed="81"/>
            <rFont val="Tahoma"/>
            <family val="2"/>
          </rPr>
          <t xml:space="preserve">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r>
      </text>
    </comment>
    <comment ref="BL127" authorId="1">
      <text>
        <r>
          <rPr>
            <b/>
            <sz val="9"/>
            <color indexed="81"/>
            <rFont val="Tahoma"/>
            <family val="2"/>
          </rPr>
          <t>billy.tsekos:</t>
        </r>
        <r>
          <rPr>
            <sz val="9"/>
            <color indexed="81"/>
            <rFont val="Tahoma"/>
            <family val="2"/>
          </rPr>
          <t xml:space="preserve">
</t>
        </r>
        <r>
          <rPr>
            <b/>
            <sz val="9"/>
            <color indexed="81"/>
            <rFont val="Tahoma"/>
            <family val="2"/>
          </rPr>
          <t xml:space="preserve">NBSAP-P.48: </t>
        </r>
        <r>
          <rPr>
            <sz val="9"/>
            <color indexed="81"/>
            <rFont val="Tahoma"/>
            <family val="2"/>
          </rPr>
          <t>Community forestry has had some success in Myanmar but the model has focused on small areas and is cumbersome to negotiate. Progress has been slow: approximately 8o,ooo hectares of forest have been brought under formal community management since the CFI were issued in 1995. The National Forestry Master Plan sets a target of 98o,ooo hectares of CF established by 2030.</t>
        </r>
      </text>
    </comment>
    <comment ref="BP127" authorId="1">
      <text>
        <r>
          <rPr>
            <b/>
            <sz val="9"/>
            <color indexed="81"/>
            <rFont val="Tahoma"/>
            <family val="2"/>
          </rPr>
          <t>billy.tsekos:</t>
        </r>
        <r>
          <rPr>
            <sz val="9"/>
            <color indexed="81"/>
            <rFont val="Tahoma"/>
            <family val="2"/>
          </rPr>
          <t xml:space="preserve">
</t>
        </r>
        <r>
          <rPr>
            <b/>
            <sz val="9"/>
            <color indexed="81"/>
            <rFont val="Tahoma"/>
            <family val="2"/>
          </rPr>
          <t xml:space="preserve">NBSAP-P98: </t>
        </r>
        <r>
          <rPr>
            <sz val="9"/>
            <color indexed="81"/>
            <rFont val="Tahoma"/>
            <family val="2"/>
          </rPr>
          <t>A large-scale forest restoration initiative would face multiple challenges. As the lead agency, the FD may need presidential-level authority to overcome resistance from vested interests.
It needs to expand its role in forest restoration toward the provision of technical support for community participation, and take advantage of initiatives such as the draft national land use policy, district-levelland use planning, and REDD+, all of which the Ministry of Environmental Conservation and Forestry  is leading.
The social, political, and technical requirements of large-scale forest restoration are complex and the Global Partnership on Forest and Landscape Restoration {GPFLR), which works to restore degraded forests in ways that deliver benefits to local communities and to nature, can assist. G PFLR is designed to help countries meet their international commitments on forests, including Aichi Target 15, REDD+ goals, and the Rio+20 land degradation neutral goal. It has reached 59 million hectares of the Bonn Challenge target of restoring 150 million hectares of degraded forest by 2020.</t>
        </r>
      </text>
    </comment>
    <comment ref="BX127" authorId="1">
      <text>
        <r>
          <rPr>
            <b/>
            <sz val="9"/>
            <color indexed="81"/>
            <rFont val="Tahoma"/>
            <family val="2"/>
          </rPr>
          <t>billy.tsekos:</t>
        </r>
        <r>
          <rPr>
            <sz val="9"/>
            <color indexed="81"/>
            <rFont val="Tahoma"/>
            <family val="2"/>
          </rPr>
          <t xml:space="preserve">
The major threats to biodiversity in Myanmar are improper land use, illegal hunting and trade, the introduction of invasive species, infrastructure development and climate change. Underlying factors include poverty, economic growth and increasing consumption, increased demand on natural resources from neighbouring countries, limited environmental safeguards, lack of comprehensive land-use policies and planning, undervaluation of ecosystems, ecosystem services and biodiversity (particularly in development planning) and limited grassroots support for conservation.
</t>
        </r>
        <r>
          <rPr>
            <b/>
            <sz val="9"/>
            <color indexed="81"/>
            <rFont val="Tahoma"/>
            <family val="2"/>
          </rPr>
          <t>NR- P.11:</t>
        </r>
        <r>
          <rPr>
            <sz val="9"/>
            <color indexed="81"/>
            <rFont val="Tahoma"/>
            <family val="2"/>
          </rPr>
          <t xml:space="preserve"> Myanmar is a largely agricultural county. However, most cultivation employs techniques that can significantly degrade the natural environment. In particular, shifting cultivation in upland areas, over abstraction of ground water, and uncontrolled pesticide and herbicide use all negatively affect ecosystems and biodiversity.
</t>
        </r>
        <r>
          <rPr>
            <b/>
            <sz val="9"/>
            <color indexed="81"/>
            <rFont val="Tahoma"/>
            <family val="2"/>
          </rPr>
          <t>NR- P.15:</t>
        </r>
        <r>
          <rPr>
            <sz val="9"/>
            <color indexed="81"/>
            <rFont val="Tahoma"/>
            <family val="2"/>
          </rPr>
          <t xml:space="preserve"> In many cases, use of natural resources by rural communities is potentially sustainable. However, various factors, including external economic forces, population growth, and loss of access to land, can lead to unsustainable levels of natural resource use, and degradation and loss of natural habitats. These problems have been worsened by decades of armed conflict in some, resulting in thousands of people abandoning their land. Poverty and land degradation in the uplands of Myanmar are linked in a mutually reinforcing cycle that is difficult to break. 
In Myanmar, one of the major factors for forest degradation and habitat and biodiversity loss is a lack of land-use policies and planning. Moreover, unplanned expansion of commercial plantations, such as oil palm and cassava, is leading to large-scale conversion of forest areas. 
</t>
        </r>
        <r>
          <rPr>
            <b/>
            <sz val="9"/>
            <color indexed="81"/>
            <rFont val="Tahoma"/>
            <family val="2"/>
          </rPr>
          <t xml:space="preserve">
NR- P.92:</t>
        </r>
        <r>
          <rPr>
            <sz val="9"/>
            <color indexed="81"/>
            <rFont val="Tahoma"/>
            <family val="2"/>
          </rPr>
          <t xml:space="preserve"> One of the greatest threats to the remaining forest is forest clearing and conversion: for concessions to convert land to rubber, oil palm, betel nut and other agro-forestry plantations and also to a lesser extent the expansion of smallholder agriculture. Large areas of forest have now passed through a degradation continuum where they have been logged over so many times that conversion to plantation or agriculture, combined with substantial insecurity of tenure and in some cases conflict, is the likely next step. </t>
        </r>
      </text>
    </comment>
    <comment ref="CC127" authorId="1">
      <text>
        <r>
          <rPr>
            <b/>
            <sz val="9"/>
            <color indexed="81"/>
            <rFont val="Tahoma"/>
            <family val="2"/>
          </rPr>
          <t>billy.tsekos:</t>
        </r>
        <r>
          <rPr>
            <sz val="9"/>
            <color indexed="81"/>
            <rFont val="Tahoma"/>
            <family val="2"/>
          </rPr>
          <t xml:space="preserve">
</t>
        </r>
        <r>
          <rPr>
            <b/>
            <sz val="9"/>
            <color indexed="81"/>
            <rFont val="Tahoma"/>
            <family val="2"/>
          </rPr>
          <t>NR- P.58:</t>
        </r>
        <r>
          <rPr>
            <sz val="9"/>
            <color indexed="81"/>
            <rFont val="Tahoma"/>
            <family val="2"/>
          </rPr>
          <t xml:space="preserve"> In order to control deforestation and increase forest cover, Myanmar is strengthening sustainable forest management practices, expanding the permanent forest estate, establishing forest plantations, developing community forestry, and strictly implementing the Myanmar Selection System.
Achievements include an increase in the area of reserved forests and protected public forests from 22.75 per cent of the total land area in 2005, to 25.01 per cent in 2013. The Myanmar Forest Policy further targets further expansion to 30 per cent by 2030-2031.</t>
        </r>
      </text>
    </comment>
    <comment ref="CP127" authorId="1">
      <text>
        <r>
          <rPr>
            <b/>
            <sz val="9"/>
            <color indexed="81"/>
            <rFont val="Tahoma"/>
            <family val="2"/>
          </rPr>
          <t>billy.tsekos:</t>
        </r>
        <r>
          <rPr>
            <sz val="9"/>
            <color indexed="81"/>
            <rFont val="Tahoma"/>
            <family val="2"/>
          </rPr>
          <t xml:space="preserve">
</t>
        </r>
        <r>
          <rPr>
            <b/>
            <sz val="9"/>
            <color indexed="81"/>
            <rFont val="Tahoma"/>
            <family val="2"/>
          </rPr>
          <t xml:space="preserve">NBSAP-P40: </t>
        </r>
        <r>
          <rPr>
            <sz val="9"/>
            <color indexed="81"/>
            <rFont val="Tahoma"/>
            <family val="2"/>
          </rPr>
          <t>Safeguards for contract farming and fishing, and programmes to reduce vulnerability and increase the resilience of these groups, can help to reduce rural debt and create an enabling environment for positive conservation incentives. Examples of these programmes include addressing land tenure systems, support for low-input agricultural commodities, formation of cooperatives and associations to increase bargaining power, and provision of microcredit for rural farmers. The National Sustainable Development Goals may be an appropriate forum to develop a national target on rural debt, which would complement the national biodiversity targets.</t>
        </r>
      </text>
    </comment>
    <comment ref="CQ127" authorId="1">
      <text>
        <r>
          <rPr>
            <b/>
            <sz val="9"/>
            <color indexed="81"/>
            <rFont val="Tahoma"/>
            <family val="2"/>
          </rPr>
          <t>billy.tsekos:</t>
        </r>
        <r>
          <rPr>
            <sz val="9"/>
            <color indexed="81"/>
            <rFont val="Tahoma"/>
            <family val="2"/>
          </rPr>
          <t xml:space="preserve">
</t>
        </r>
        <r>
          <rPr>
            <b/>
            <sz val="9"/>
            <color indexed="81"/>
            <rFont val="Tahoma"/>
            <family val="2"/>
          </rPr>
          <t xml:space="preserve">NBSAP-P.59: </t>
        </r>
        <r>
          <rPr>
            <sz val="9"/>
            <color indexed="81"/>
            <rFont val="Tahoma"/>
            <family val="2"/>
          </rPr>
          <t xml:space="preserve">Climate change adaptation and mitigation should be mainstreamed into agricultural and rural development strategies to improve sustainability. Examples would include accounting for sea Level rise in projections of rice production, helping farmers adapt to changing weather patterns in the Central Dry Zone and the Ayeyawady Delta, and conducting research on resilient crop varieties, including locallandraces. 
</t>
        </r>
        <r>
          <rPr>
            <b/>
            <sz val="9"/>
            <color indexed="81"/>
            <rFont val="Tahoma"/>
            <family val="2"/>
          </rPr>
          <t xml:space="preserve">
NBSAP-P.70:</t>
        </r>
        <r>
          <rPr>
            <sz val="9"/>
            <color indexed="81"/>
            <rFont val="Tahoma"/>
            <family val="2"/>
          </rPr>
          <t>Understanding of the marine realm in Myanmar is a major scientific and policy gap. Important marine ecosystems in Myanmar identified by BOBLME are mangrove forests (see Target 5), coral reefs, and seagrass and seaweed beds. Of these, coral reefs are the most vulnerable to climate change and ocean acidification.</t>
        </r>
      </text>
    </comment>
    <comment ref="CW127" authorId="1">
      <text>
        <r>
          <rPr>
            <b/>
            <sz val="9"/>
            <color indexed="81"/>
            <rFont val="Tahoma"/>
            <family val="2"/>
          </rPr>
          <t>billy.tsekos:</t>
        </r>
        <r>
          <rPr>
            <sz val="9"/>
            <color indexed="81"/>
            <rFont val="Tahoma"/>
            <family val="2"/>
          </rPr>
          <t xml:space="preserve">
</t>
        </r>
        <r>
          <rPr>
            <b/>
            <sz val="9"/>
            <color indexed="81"/>
            <rFont val="Tahoma"/>
            <family val="2"/>
          </rPr>
          <t xml:space="preserve">NBSAP-P.2: </t>
        </r>
        <r>
          <rPr>
            <sz val="9"/>
            <color indexed="81"/>
            <rFont val="Tahoma"/>
            <family val="2"/>
          </rPr>
          <t>Forests within the Permanent Forest Estate (PFE) are under the authority of the Forest Department and are classified as either PAs (i.e. conservation areas), reserved forests, or protected public forests (local natural resource supply areas). Currently more than 20 million hectares, approximately 30% of the country's total land area, are designated within the PFE. Forests outside the PFE may be classified as public forest or wasteland and are sometimes referred to as unclassified forest. While the land in unclassified forest is available for other uses by the state, all trees in the country are subject to regulations by MOECAF, including controls on harvesting and sale of restricted species.</t>
        </r>
      </text>
    </comment>
    <comment ref="DK127" authorId="1">
      <text>
        <r>
          <rPr>
            <b/>
            <sz val="9"/>
            <color indexed="81"/>
            <rFont val="Tahoma"/>
            <family val="2"/>
          </rPr>
          <t>billy.tsekos:</t>
        </r>
        <r>
          <rPr>
            <sz val="9"/>
            <color indexed="81"/>
            <rFont val="Tahoma"/>
            <family val="2"/>
          </rPr>
          <t xml:space="preserve">
By 2030, Myanmar’s permanent forest estate (PFE) target is to increase national land area as forest land with the following percent of total land area):
• Reserved Forest (RF) and Protected Public Forest (PPF) = 30% of total national land area
• Protected Area Systems (PAS) = 10% of total national land area
Institutional Arrangements and Planning for Implementation
• To decrease the rate of deforestation so that a significant mitigation contribution from the sector can continue to be realised.
• To preserve natural forest cover to maintain biodiversity and ecosystems in Myanmar
• To realize the co-benefits of the policy such as reducing soil erosion, thereby decreasing the risk of floods and landslides that may occur near rivers
• To increase the resilience of mangroves and coastal communities which are at risk of flooding.
• To increase capacity Sustainable Forest Management.</t>
        </r>
      </text>
    </comment>
    <comment ref="BA128" authorId="0">
      <text>
        <r>
          <rPr>
            <sz val="9"/>
            <color indexed="81"/>
            <rFont val="Tahoma"/>
            <family val="2"/>
          </rPr>
          <t>Target 2.1 By 2022, the rate of loss and degradation of natural habitats outside protected areas serving as ecological corridors or containing key biodiversity areas or providing important ecosystem services is minimized through integrated land use planning</t>
        </r>
      </text>
    </comment>
    <comment ref="EH128" authorId="0">
      <text>
        <r>
          <rPr>
            <b/>
            <sz val="9"/>
            <color indexed="81"/>
            <rFont val="Tahoma"/>
            <family val="2"/>
          </rPr>
          <t>Committed to AFR100, but finalizing ha target</t>
        </r>
      </text>
    </comment>
    <comment ref="ER128" authorId="0">
      <text>
        <r>
          <rPr>
            <sz val="9"/>
            <color indexed="81"/>
            <rFont val="Tahoma"/>
            <family val="2"/>
          </rPr>
          <t xml:space="preserve">(pg. 119) Increase the forest cover to 10 % by 2020
by 2020 20% of degraded and fragmented habitats
are restored/rehabilitated By 2020 the rate of
loss of natural forest is brought close to zero
Increase % of protected Area </t>
        </r>
      </text>
    </comment>
    <comment ref="ET128" authorId="0">
      <text>
        <r>
          <rPr>
            <sz val="9"/>
            <color indexed="81"/>
            <rFont val="Tahoma"/>
            <family val="2"/>
          </rPr>
          <t>(pg. 126) By 2020 at least 5 % of degraded ecosystems are restored /rehabilitated to increase their resilience By 2020 the country will have increased the tree cover to 10% NCCRS and Action plan by 2017</t>
        </r>
      </text>
    </comment>
    <comment ref="Z130" authorId="1">
      <text>
        <r>
          <rPr>
            <b/>
            <sz val="9"/>
            <color indexed="81"/>
            <rFont val="Tahoma"/>
            <family val="2"/>
          </rPr>
          <t>billy.tsekos:</t>
        </r>
        <r>
          <rPr>
            <sz val="9"/>
            <color indexed="81"/>
            <rFont val="Tahoma"/>
            <family val="2"/>
          </rPr>
          <t xml:space="preserve">
</t>
        </r>
        <r>
          <rPr>
            <b/>
            <sz val="9"/>
            <color indexed="81"/>
            <rFont val="Tahoma"/>
            <family val="2"/>
          </rPr>
          <t>NBSAP-P.11:</t>
        </r>
        <r>
          <rPr>
            <sz val="9"/>
            <color indexed="81"/>
            <rFont val="Tahoma"/>
            <family val="2"/>
          </rPr>
          <t xml:space="preserve"> There has been no comprehensive study to identify and map Nepal’s forest ecosystems. 
</t>
        </r>
        <r>
          <rPr>
            <b/>
            <sz val="9"/>
            <color indexed="81"/>
            <rFont val="Tahoma"/>
            <family val="2"/>
          </rPr>
          <t>NBSAP-P.13:</t>
        </r>
        <r>
          <rPr>
            <sz val="9"/>
            <color indexed="81"/>
            <rFont val="Tahoma"/>
            <family val="2"/>
          </rPr>
          <t xml:space="preserve"> Rangeland ecosystems in Nepal are comprised of grasslands, pastures and shrublands that cover about 1.7 million hectares or nearly 12 percent of country’s land area. About 79 percent of the rangelands are located in the High Mountains and High Himal areas, 17 percent in Middle Mountains and the remaining four percent in the Siwalik and Tarai (LRMP, 1986). 
</t>
        </r>
        <r>
          <rPr>
            <b/>
            <sz val="9"/>
            <color indexed="81"/>
            <rFont val="Tahoma"/>
            <family val="2"/>
          </rPr>
          <t>NBSAP-P.14:</t>
        </r>
        <r>
          <rPr>
            <sz val="9"/>
            <color indexed="81"/>
            <rFont val="Tahoma"/>
            <family val="2"/>
          </rPr>
          <t xml:space="preserve">Table 4: Estimated coverage by different types of wetlands 
</t>
        </r>
        <r>
          <rPr>
            <b/>
            <sz val="9"/>
            <color indexed="81"/>
            <rFont val="Tahoma"/>
            <family val="2"/>
          </rPr>
          <t>NBSAP-P.24:</t>
        </r>
        <r>
          <rPr>
            <sz val="9"/>
            <color indexed="81"/>
            <rFont val="Tahoma"/>
            <family val="2"/>
          </rPr>
          <t xml:space="preserve">Figure 8: Location and coverage of global terrestrial eco-regions in Nepal 
</t>
        </r>
        <r>
          <rPr>
            <b/>
            <sz val="9"/>
            <color indexed="81"/>
            <rFont val="Tahoma"/>
            <family val="2"/>
          </rPr>
          <t xml:space="preserve">NR- P. 2: </t>
        </r>
        <r>
          <rPr>
            <sz val="9"/>
            <color indexed="81"/>
            <rFont val="Tahoma"/>
            <family val="2"/>
          </rPr>
          <t xml:space="preserve">The Department of Forest Research and Survey is currently in the process of updating the country’s forest cover information using high resolution satellite data and ground sample surveys. The work, which is expected to be completed within the first half of 2015, may provide a clearer picture of current status of the country’s forest resources
</t>
        </r>
        <r>
          <rPr>
            <b/>
            <sz val="9"/>
            <color indexed="81"/>
            <rFont val="Tahoma"/>
            <family val="2"/>
          </rPr>
          <t xml:space="preserve">NBSAP-P11: </t>
        </r>
        <r>
          <rPr>
            <sz val="9"/>
            <color indexed="81"/>
            <rFont val="Tahoma"/>
            <family val="2"/>
          </rPr>
          <t xml:space="preserve">Table 2: Changes in Nepal’s Land Use/Land Cover in between 1979 and 1994 
</t>
        </r>
      </text>
    </comment>
    <comment ref="AH130" authorId="1">
      <text>
        <r>
          <rPr>
            <b/>
            <sz val="9"/>
            <color indexed="81"/>
            <rFont val="Tahoma"/>
            <family val="2"/>
          </rPr>
          <t>billy.tsekos:</t>
        </r>
        <r>
          <rPr>
            <sz val="9"/>
            <color indexed="81"/>
            <rFont val="Tahoma"/>
            <family val="2"/>
          </rPr>
          <t xml:space="preserve">
</t>
        </r>
        <r>
          <rPr>
            <b/>
            <sz val="9"/>
            <color indexed="81"/>
            <rFont val="Tahoma"/>
            <family val="2"/>
          </rPr>
          <t>NBSAP-P25:</t>
        </r>
        <r>
          <rPr>
            <sz val="9"/>
            <color indexed="81"/>
            <rFont val="Tahoma"/>
            <family val="2"/>
          </rPr>
          <t xml:space="preserve"> Continuous loss of forest area is a major threat to forest biodiversity. According to the Global Forest Resources Assessment by FAO, Nepal lost forest area by 2.1 percent and 1.4 percent during 1990- 2000 and 2000-2005, respectively. During 1990-2000, the country lost 700 hectares of primary forest per year, but this figure rose by 10 times to 7,000 hectares per year during 2000-2005 (FAO, 2010).</t>
        </r>
      </text>
    </comment>
    <comment ref="AV130" authorId="1">
      <text>
        <r>
          <rPr>
            <b/>
            <sz val="9"/>
            <color indexed="81"/>
            <rFont val="Tahoma"/>
            <family val="2"/>
          </rPr>
          <t>billy.tsekos:</t>
        </r>
        <r>
          <rPr>
            <sz val="9"/>
            <color indexed="81"/>
            <rFont val="Tahoma"/>
            <family val="2"/>
          </rPr>
          <t xml:space="preserve">
</t>
        </r>
        <r>
          <rPr>
            <b/>
            <sz val="9"/>
            <color indexed="81"/>
            <rFont val="Tahoma"/>
            <family val="2"/>
          </rPr>
          <t xml:space="preserve">NBSAP-P28: </t>
        </r>
        <r>
          <rPr>
            <sz val="9"/>
            <color indexed="81"/>
            <rFont val="Tahoma"/>
            <family val="2"/>
          </rPr>
          <t xml:space="preserve">Table 10: Major direct threats to forest biodiversity in Nepal
</t>
        </r>
      </text>
    </comment>
    <comment ref="BA130" authorId="0">
      <text>
        <r>
          <rPr>
            <b/>
            <sz val="9"/>
            <color indexed="81"/>
            <rFont val="Tahoma"/>
            <family val="2"/>
          </rPr>
          <t>Billy Tsekos:</t>
        </r>
        <r>
          <rPr>
            <sz val="9"/>
            <color indexed="81"/>
            <rFont val="Tahoma"/>
            <family val="2"/>
          </rPr>
          <t xml:space="preserve">
</t>
        </r>
        <r>
          <rPr>
            <b/>
            <sz val="9"/>
            <color indexed="81"/>
            <rFont val="Tahoma"/>
            <family val="2"/>
          </rPr>
          <t>NR-P. 56</t>
        </r>
        <r>
          <rPr>
            <sz val="9"/>
            <color indexed="81"/>
            <rFont val="Tahoma"/>
            <family val="2"/>
          </rPr>
          <t xml:space="preserve">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r>
      </text>
    </comment>
    <comment ref="BC130" authorId="1">
      <text>
        <r>
          <rPr>
            <b/>
            <sz val="9"/>
            <color indexed="81"/>
            <rFont val="Tahoma"/>
            <family val="2"/>
          </rPr>
          <t>billy.tsekos:</t>
        </r>
        <r>
          <rPr>
            <sz val="9"/>
            <color indexed="81"/>
            <rFont val="Tahoma"/>
            <family val="2"/>
          </rPr>
          <t xml:space="preserve">
</t>
        </r>
        <r>
          <rPr>
            <b/>
            <sz val="9"/>
            <color indexed="81"/>
            <rFont val="Tahoma"/>
            <family val="2"/>
          </rPr>
          <t>NBSAP-P.41:</t>
        </r>
        <r>
          <rPr>
            <sz val="9"/>
            <color indexed="81"/>
            <rFont val="Tahoma"/>
            <family val="2"/>
          </rPr>
          <t xml:space="preserve"> The MoFSC has established a REDD Forestry and Climate Change Cell for further strengthening of climate change adaptation and mitigation activities through abatement of deforestation and forest degradation and promotion of sustainable forest management.</t>
        </r>
      </text>
    </comment>
    <comment ref="BD130" authorId="1">
      <text>
        <r>
          <rPr>
            <b/>
            <sz val="9"/>
            <color indexed="81"/>
            <rFont val="Tahoma"/>
            <family val="2"/>
          </rPr>
          <t>billy.tsekos:</t>
        </r>
        <r>
          <rPr>
            <sz val="9"/>
            <color indexed="81"/>
            <rFont val="Tahoma"/>
            <family val="2"/>
          </rPr>
          <t xml:space="preserve">
2020</t>
        </r>
      </text>
    </comment>
    <comment ref="BH130" authorId="1">
      <text>
        <r>
          <rPr>
            <b/>
            <sz val="9"/>
            <color indexed="81"/>
            <rFont val="Tahoma"/>
            <family val="2"/>
          </rPr>
          <t>billy.tsekos:</t>
        </r>
        <r>
          <rPr>
            <sz val="9"/>
            <color indexed="81"/>
            <rFont val="Tahoma"/>
            <family val="2"/>
          </rPr>
          <t xml:space="preserve">
</t>
        </r>
        <r>
          <rPr>
            <b/>
            <sz val="9"/>
            <color indexed="81"/>
            <rFont val="Tahoma"/>
            <family val="2"/>
          </rPr>
          <t>NBSAP-P.29:</t>
        </r>
        <r>
          <rPr>
            <sz val="9"/>
            <color indexed="81"/>
            <rFont val="Tahoma"/>
            <family val="2"/>
          </rPr>
          <t xml:space="preserve"> Conversion of grasslands and savannas to agriculture and other use is a major threat to the Tarai-Duar savannas, grasslands and marshlands. The loss and fragmentation has greatly affected grassland-dependent wild animals (such as rhino and deer) and bird species (e.g.
Bengal florican). 
</t>
        </r>
      </text>
    </comment>
    <comment ref="BI130" authorId="1">
      <text>
        <r>
          <rPr>
            <b/>
            <sz val="9"/>
            <color indexed="81"/>
            <rFont val="Tahoma"/>
            <family val="2"/>
          </rPr>
          <t>billy.tsekos:</t>
        </r>
        <r>
          <rPr>
            <sz val="9"/>
            <color indexed="81"/>
            <rFont val="Tahoma"/>
            <family val="2"/>
          </rPr>
          <t xml:space="preserve">
</t>
        </r>
        <r>
          <rPr>
            <b/>
            <sz val="9"/>
            <color indexed="81"/>
            <rFont val="Tahoma"/>
            <family val="2"/>
          </rPr>
          <t>(NR-P.60)</t>
        </r>
        <r>
          <rPr>
            <sz val="9"/>
            <color indexed="81"/>
            <rFont val="Tahoma"/>
            <family val="2"/>
          </rPr>
          <t xml:space="preserve">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t>
        </r>
        <r>
          <rPr>
            <b/>
            <sz val="9"/>
            <color indexed="81"/>
            <rFont val="Tahoma"/>
            <family val="2"/>
          </rPr>
          <t>(NR-P.60)</t>
        </r>
        <r>
          <rPr>
            <sz val="9"/>
            <color indexed="81"/>
            <rFont val="Tahoma"/>
            <family val="2"/>
          </rPr>
          <t xml:space="preserve">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r>
      </text>
    </comment>
    <comment ref="BL130" authorId="1">
      <text>
        <r>
          <rPr>
            <b/>
            <sz val="9"/>
            <color indexed="81"/>
            <rFont val="Tahoma"/>
            <family val="2"/>
          </rPr>
          <t>billy.tsekos:
NBSAP-P.46:</t>
        </r>
        <r>
          <rPr>
            <sz val="9"/>
            <color indexed="81"/>
            <rFont val="Tahoma"/>
            <family val="2"/>
          </rPr>
          <t xml:space="preserve">
(i) Implementation of participatory forest management programmes
     (a) Community Forestry
     (b) Collaborative Forest Management
     (c) Leasehold Forestry 
(ii)Establishment of Protection Forests 
</t>
        </r>
        <r>
          <rPr>
            <b/>
            <sz val="9"/>
            <color indexed="81"/>
            <rFont val="Tahoma"/>
            <family val="2"/>
          </rPr>
          <t>NR-P.21: S</t>
        </r>
        <r>
          <rPr>
            <sz val="9"/>
            <color indexed="81"/>
            <rFont val="Tahoma"/>
            <family val="2"/>
          </rPr>
          <t>even forests, covering a total area of 133,579 hactare, have been declared as protected forests since 2010. Some of those forests are important wildlife corridors, and the rest are rich in biodiversity (Table 3). The main objectives of protection forests are to enhance biodiversity through rehabilitation of habitats of rare and important species, biological corridors, and wetlands, and enhance local livelihoods through implementation of income generating activities (DOF, 2013a).</t>
        </r>
      </text>
    </comment>
    <comment ref="BP130" authorId="1">
      <text>
        <r>
          <rPr>
            <b/>
            <sz val="9"/>
            <color indexed="81"/>
            <rFont val="Tahoma"/>
            <family val="2"/>
          </rPr>
          <t>billy.tsekos:</t>
        </r>
        <r>
          <rPr>
            <sz val="9"/>
            <color indexed="81"/>
            <rFont val="Tahoma"/>
            <family val="2"/>
          </rPr>
          <t xml:space="preserve">
</t>
        </r>
        <r>
          <rPr>
            <b/>
            <sz val="9"/>
            <color indexed="81"/>
            <rFont val="Tahoma"/>
            <family val="2"/>
          </rPr>
          <t>NBSAP-P.48:</t>
        </r>
        <r>
          <rPr>
            <sz val="9"/>
            <color indexed="81"/>
            <rFont val="Tahoma"/>
            <family val="2"/>
          </rPr>
          <t xml:space="preserve"> Reforestation of deforested sites and enrichment plantation in degraded forest patches are regular activities implemented by most of the district forest offices and community forest user groups. For example, 2,986 hectares of new plantations were established, and 814 hectares of encroached forestland was reclaimed and reforested in the year 2011/2012. Most district forest offices distribute seedlings for institutional and private plantations during the monsoon season. 
</t>
        </r>
        <r>
          <rPr>
            <b/>
            <sz val="9"/>
            <color indexed="81"/>
            <rFont val="Tahoma"/>
            <family val="2"/>
          </rPr>
          <t>NR-P. 38:</t>
        </r>
        <r>
          <rPr>
            <sz val="9"/>
            <color indexed="81"/>
            <rFont val="Tahoma"/>
            <family val="2"/>
          </rPr>
          <t xml:space="preserve">The strategy for management of wetland biodiversity has recommended the development of a national program for conservation and wise use of wetlands. Some of the time-bound priority actions include:
(i) carrying out inventory of all wetlands by 2017 to know their status and potentials, 
(ii) rehabilitation of at least seven major degraded wetlands within the next five years, and 
(iii) promoting community based wetlands management. The strategy have also proposed the development of criteria and indicators for Sustainable Forest Management and management plan of protected areas and all forest regime
</t>
        </r>
      </text>
    </comment>
    <comment ref="BT130" authorId="1">
      <text>
        <r>
          <rPr>
            <b/>
            <sz val="9"/>
            <color indexed="81"/>
            <rFont val="Tahoma"/>
            <family val="2"/>
          </rPr>
          <t>billy.tsekos:</t>
        </r>
        <r>
          <rPr>
            <sz val="9"/>
            <color indexed="81"/>
            <rFont val="Tahoma"/>
            <family val="2"/>
          </rPr>
          <t xml:space="preserve">
</t>
        </r>
        <r>
          <rPr>
            <b/>
            <sz val="9"/>
            <color indexed="81"/>
            <rFont val="Tahoma"/>
            <family val="2"/>
          </rPr>
          <t>NR-P.43:</t>
        </r>
        <r>
          <rPr>
            <sz val="9"/>
            <color indexed="81"/>
            <rFont val="Tahoma"/>
            <family val="2"/>
          </rPr>
          <t xml:space="preserve"> Restoration of at least 15 percent of the forested ecosystems through implementation of REDD+ and ecosystem based adaptation programs by 2020,.
restoration of at least additional 5,000 ha. degraded forest through pro-poor leasehold forestry, </t>
        </r>
      </text>
    </comment>
    <comment ref="BX130" authorId="1">
      <text>
        <r>
          <rPr>
            <b/>
            <sz val="9"/>
            <color indexed="81"/>
            <rFont val="Tahoma"/>
            <family val="2"/>
          </rPr>
          <t>billy.tsekos:</t>
        </r>
        <r>
          <rPr>
            <sz val="9"/>
            <color indexed="81"/>
            <rFont val="Tahoma"/>
            <family val="2"/>
          </rPr>
          <t xml:space="preserve">
</t>
        </r>
        <r>
          <rPr>
            <b/>
            <sz val="9"/>
            <color indexed="81"/>
            <rFont val="Tahoma"/>
            <family val="2"/>
          </rPr>
          <t xml:space="preserve">NR-P. iv </t>
        </r>
        <r>
          <rPr>
            <sz val="9"/>
            <color indexed="81"/>
            <rFont val="Tahoma"/>
            <family val="2"/>
          </rPr>
          <t xml:space="preserve">In the last few decades, forests of commercial and biological value in the tropical lowlands and adjoining Siwalik Hills have suffered from high rates  of deforestation and degradation.
</t>
        </r>
        <r>
          <rPr>
            <b/>
            <sz val="9"/>
            <color indexed="81"/>
            <rFont val="Tahoma"/>
            <family val="2"/>
          </rPr>
          <t xml:space="preserve">NR- P. vi </t>
        </r>
        <r>
          <rPr>
            <sz val="9"/>
            <color indexed="81"/>
            <rFont val="Tahoma"/>
            <family val="2"/>
          </rPr>
          <t xml:space="preserve">Nepal’s biodiversity is threatened by multiple factors. Loss and degradation of natural habitats, such as forests, grasslands, and wetlands due to the expansion of settlements, agriculture and infrastructure; overexploitation; invasion by alien species; and pollution of water bodies remain the predominant threats. Poaching and illegal wildlife trade and human-wildlife conflict are other major direct threats to forest biodiversity, particularly in protected areas. Rapid expansion of hybrid varieties and improper use of insecticides and pesticides  are major threats to agrobiodiversity. Widespread mining of gravel from streams and rivers beds has emerged as a major threat to aquatic biodiversity. Such activities have also caused deforestation and forest degradation rates to spike  in the Siwalik zone. Natural disasters such as landslides, glacial lake outburst floods and drought pose considerable threat to mountain ecosystems and the people living in those areas. Climate change can have profound impacts in the future, particularly in mountain ecosystems.
Demographic changes; poverty; weak enforcement of law and governance; ignorance to biodiversity values in government and corporate accounting systems; inadequate awareness and motivation to conserve biodiversity; gender, caste and ethnicity based inequality; and lack of an integrated approaches to development planning at the national and district levels are major underlying factors contributing to the threats.
</t>
        </r>
        <r>
          <rPr>
            <b/>
            <sz val="9"/>
            <color indexed="81"/>
            <rFont val="Tahoma"/>
            <family val="2"/>
          </rPr>
          <t xml:space="preserve">
NR-P. 3 </t>
        </r>
        <r>
          <rPr>
            <sz val="9"/>
            <color indexed="81"/>
            <rFont val="Tahoma"/>
            <family val="2"/>
          </rPr>
          <t xml:space="preserve">Non-Timber Forest Products (NTFPs), including Medicinal and Aromatic Plants (MAPs), play a critical role in meeting the food and healthcare requirements of millions of rural people, particularly in the mountains. Some commercially valuable NTFPs, however, are facing unsustainable exploitation. The high demand for agricultural land and high dependency on forests for meeting subsistence needs (fuel, fodder, construction material) have caused substantial degradation of forests, particularly in the Tarai and Siwalik regions.
</t>
        </r>
        <r>
          <rPr>
            <b/>
            <sz val="9"/>
            <color indexed="81"/>
            <rFont val="Tahoma"/>
            <family val="2"/>
          </rPr>
          <t xml:space="preserve">NR- P. 9 </t>
        </r>
        <r>
          <rPr>
            <sz val="9"/>
            <color indexed="81"/>
            <rFont val="Tahoma"/>
            <family val="2"/>
          </rPr>
          <t>Deforestation and forest degradation have been occurring through land-use conversion for agriculture, illegal settlements, infrastructure (including roads and electric transmission lines), and actions relating to the use of resources including overgrazing, unsustainable exploitation of forest produts, habitat fragmentation and uncontrolled forest fires. Invasion by alien species, such as Mikania micrantha, Eupatorium adenophorum, Eupatorium odoratum, and Lantana camara and Parthenium hysterophorus has emerged as a major problem, and its severity and extent is consistently increasing</t>
        </r>
      </text>
    </comment>
    <comment ref="CH130" authorId="1">
      <text>
        <r>
          <rPr>
            <b/>
            <sz val="9"/>
            <color indexed="81"/>
            <rFont val="Tahoma"/>
            <family val="2"/>
          </rPr>
          <t>billy.tsekos:</t>
        </r>
        <r>
          <rPr>
            <sz val="9"/>
            <color indexed="81"/>
            <rFont val="Tahoma"/>
            <family val="2"/>
          </rPr>
          <t xml:space="preserve">
</t>
        </r>
        <r>
          <rPr>
            <b/>
            <sz val="9"/>
            <color indexed="81"/>
            <rFont val="Tahoma"/>
            <family val="2"/>
          </rPr>
          <t>NR- P. 25:</t>
        </r>
        <r>
          <rPr>
            <sz val="9"/>
            <color indexed="81"/>
            <rFont val="Tahoma"/>
            <family val="2"/>
          </rPr>
          <t>Since 2008, the Ministry of Forests and Soil Conservation has promoted REDD+ as a mechanism to control  forest loss and degradation. A Readiness Preparation Proposal was prepared in 2010 and a National REDD Strategy is being prepared (MoFSC, 2010). Several REDD+ projects are being piloted in different forest regimes in Nepal. A local cooperative has been implementing a program for community-based conservation and wise use of lake resources in  Rupa Lake, Kaski District, with the objective of lake restoration and biodiversity conservation in partnership with LI-BIRD and the local municipality. The cooperative has initiated a scheme for compensating upstream forest user groups for their conservation efforts. The above pilot cases have provided useful insights and idea of challenges for implementing REDD+ and PES projects. Moreover, strong political support, a favorable policy and legal environment, supportive donors and NGOs and extensive involvement of local communities in forest management have created favorable conditions for implementation of REDD+ and PES in future.</t>
        </r>
      </text>
    </comment>
    <comment ref="CP130" authorId="1">
      <text>
        <r>
          <rPr>
            <b/>
            <sz val="9"/>
            <color indexed="81"/>
            <rFont val="Tahoma"/>
            <family val="2"/>
          </rPr>
          <t>billy.tsekos:</t>
        </r>
        <r>
          <rPr>
            <sz val="9"/>
            <color indexed="81"/>
            <rFont val="Tahoma"/>
            <family val="2"/>
          </rPr>
          <t xml:space="preserve">
</t>
        </r>
        <r>
          <rPr>
            <b/>
            <sz val="9"/>
            <color indexed="81"/>
            <rFont val="Tahoma"/>
            <family val="2"/>
          </rPr>
          <t xml:space="preserve">NBSAP-P.63: </t>
        </r>
        <r>
          <rPr>
            <sz val="9"/>
            <color indexed="81"/>
            <rFont val="Tahoma"/>
            <family val="2"/>
          </rPr>
          <t xml:space="preserve">Nepal has been implementing climate change adaptation and mitigation related projects. Some of such projects include: (i) pilot project on climate resilience supported by the World Bank/CIF, (ii) LDC funds on disaster and ecosystems based adaptation of climate change impacts on agriculture and water resources, and (iii) ecosystems based adaptation on mountain ecosystems. 
Climate resilience has become an important aspect of community forest management planning since 2010. According to unpublished records available at the Department of Forests, so far 1359 community forest operational plans have been prepared or revised with provisions for enhancing climate change resilience.
</t>
        </r>
        <r>
          <rPr>
            <b/>
            <sz val="9"/>
            <color indexed="81"/>
            <rFont val="Tahoma"/>
            <family val="2"/>
          </rPr>
          <t xml:space="preserve">NBSAP-P.80: </t>
        </r>
        <r>
          <rPr>
            <sz val="9"/>
            <color indexed="81"/>
            <rFont val="Tahoma"/>
            <family val="2"/>
          </rPr>
          <t xml:space="preserve">Improving forest productivity, biodiversity conservation and climate change resilience of forests through sustainable management. At least 50 percent of the production forests to be brought under sustainable management by 2020. </t>
        </r>
      </text>
    </comment>
    <comment ref="CQ130" authorId="1">
      <text>
        <r>
          <rPr>
            <b/>
            <sz val="9"/>
            <color indexed="81"/>
            <rFont val="Tahoma"/>
            <family val="2"/>
          </rPr>
          <t>billy.tsekos:</t>
        </r>
        <r>
          <rPr>
            <sz val="9"/>
            <color indexed="81"/>
            <rFont val="Tahoma"/>
            <family val="2"/>
          </rPr>
          <t xml:space="preserve">
</t>
        </r>
        <r>
          <rPr>
            <b/>
            <sz val="9"/>
            <color indexed="81"/>
            <rFont val="Tahoma"/>
            <family val="2"/>
          </rPr>
          <t xml:space="preserve">NBSAP-P.xxv: </t>
        </r>
        <r>
          <rPr>
            <sz val="9"/>
            <color indexed="81"/>
            <rFont val="Tahoma"/>
            <family val="2"/>
          </rPr>
          <t xml:space="preserve">Adaptation Programme of Action and REDD Readiness Preparation Proposal in 2010, and Climate Change Policy in 2011 were some of the key strategic efforts of the government towards adapting and mitigating the impacts of climate change.
</t>
        </r>
        <r>
          <rPr>
            <b/>
            <sz val="9"/>
            <color indexed="81"/>
            <rFont val="Tahoma"/>
            <family val="2"/>
          </rPr>
          <t xml:space="preserve">
NBSAP-P.33: </t>
        </r>
        <r>
          <rPr>
            <sz val="9"/>
            <color indexed="81"/>
            <rFont val="Tahoma"/>
            <family val="2"/>
          </rPr>
          <t xml:space="preserve">Changes in the frequency, intensity, extent, and locations of climatically and non-climatically induced disturbances will affect how and at what rate the existing ecosystems will be replaced by new plant and animal assemblages. The High Himal and High Mountain ecosystems are likely to be worst affected by climate change. Among the natural habitats, remnant native grasslands are highly vulnerable to the impacts of climate change (BCN and DNPWC, 2011). 
</t>
        </r>
      </text>
    </comment>
    <comment ref="CW130" authorId="1">
      <text>
        <r>
          <rPr>
            <b/>
            <sz val="9"/>
            <color indexed="81"/>
            <rFont val="Tahoma"/>
            <family val="2"/>
          </rPr>
          <t>billy.tsekos:</t>
        </r>
        <r>
          <rPr>
            <sz val="9"/>
            <color indexed="81"/>
            <rFont val="Tahoma"/>
            <family val="2"/>
          </rPr>
          <t xml:space="preserve">
</t>
        </r>
        <r>
          <rPr>
            <b/>
            <sz val="9"/>
            <color indexed="81"/>
            <rFont val="Tahoma"/>
            <family val="2"/>
          </rPr>
          <t xml:space="preserve">NBSAP-P.43: </t>
        </r>
        <r>
          <rPr>
            <sz val="9"/>
            <color indexed="81"/>
            <rFont val="Tahoma"/>
            <family val="2"/>
          </rPr>
          <t>There has been a substantial expansion of protected area in recent years (Figure 11). A total of 6,120.6 square kilometers protected area was added just in between 2002 and 2010. Moreover, National Biodiversity Strategy and Action Plan buffer zones were declared around six protected areas during the period. These actions put Nepal in the top 20 countries in the world and second in Asia for the percentage of its surface area that is protected (USAID, 2012).</t>
        </r>
      </text>
    </comment>
    <comment ref="DJ130" authorId="1">
      <text>
        <r>
          <rPr>
            <b/>
            <sz val="9"/>
            <color indexed="81"/>
            <rFont val="Tahoma"/>
            <family val="2"/>
          </rPr>
          <t>billy.tsekos:</t>
        </r>
        <r>
          <rPr>
            <sz val="9"/>
            <color indexed="81"/>
            <rFont val="Tahoma"/>
            <family val="2"/>
          </rPr>
          <t xml:space="preserve">
The Government has a strategy to maintain at least 40% of the total area of the country under forests. It further promotes afforestation in public and private lands, environmentfriendly infrastructure development and the conservation of biodiversity. It also promotes the management of ecosystems in different eco-regions of the country which will endorse sustainable management of forests, enhance capacity of local communities in adaptation and resilience, widen carbon storage through sustainable forest management and reduce carbon emissions. It also seeks to make the forest management plan climate e adaptation- friendly, and implement REDD+ policies.
</t>
        </r>
        <r>
          <rPr>
            <b/>
            <sz val="9"/>
            <color indexed="81"/>
            <rFont val="Tahoma"/>
            <family val="2"/>
          </rPr>
          <t xml:space="preserve">
The Government has announced a forest decade for 2014-2023, with a theme: 'one house one tree, one village one forest and one town several parks'</t>
        </r>
        <r>
          <rPr>
            <sz val="9"/>
            <color indexed="81"/>
            <rFont val="Tahoma"/>
            <family val="2"/>
          </rPr>
          <t xml:space="preserve"> that aims at creating new forests and tree groves in areas where forests have already been lost, in addition to managing natural forests. The forests and watersheds lying on the chain of Siwalik hills are also being managed on the basis of upstream-downstream linkages in which both the forest ecosystems in the Siwalik and the fertile cultivated land in the down south are taken into consideration as complementing to each other. Conservation and management of this area, including implementation of forests, soil and water conservation activities, is expected to greatly sequestrate carbon and could function as the carbon sink.</t>
        </r>
      </text>
    </comment>
    <comment ref="DK130" authorId="1">
      <text>
        <r>
          <rPr>
            <b/>
            <sz val="9"/>
            <color indexed="81"/>
            <rFont val="Tahoma"/>
            <family val="2"/>
          </rPr>
          <t>billy.tsekos:</t>
        </r>
        <r>
          <rPr>
            <sz val="9"/>
            <color indexed="81"/>
            <rFont val="Tahoma"/>
            <family val="2"/>
          </rPr>
          <t xml:space="preserve">
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
</t>
        </r>
      </text>
    </comment>
    <comment ref="DL130" authorId="1">
      <text>
        <r>
          <rPr>
            <b/>
            <sz val="9"/>
            <color indexed="81"/>
            <rFont val="Tahoma"/>
            <family val="2"/>
          </rPr>
          <t>billy.tsekos:</t>
        </r>
        <r>
          <rPr>
            <sz val="9"/>
            <color indexed="81"/>
            <rFont val="Tahoma"/>
            <family val="2"/>
          </rPr>
          <t xml:space="preserve">
Nepal’s Pilot Program for Climate Resilience (PPCR) compromises four components:
 i) Building Climate Resilience of Watersheds in Mountain Eco Regions,
 ii) Building Resilience to Climate Related Hazards,
 iii) Mainstreaming Climate Change Risk Management in Development, and
iv) Building Climate Resilient Communities through Private Sector Participation.
All the PPCR components have been launched and are at different stages of implementation. The ongoing programs are complimenting each other and various climate change programs in Nepal including those to implement LAPAs and other NAPA priorities.
</t>
        </r>
      </text>
    </comment>
    <comment ref="DM130" authorId="1">
      <text>
        <r>
          <rPr>
            <b/>
            <sz val="9"/>
            <color indexed="81"/>
            <rFont val="Tahoma"/>
            <family val="2"/>
          </rPr>
          <t>billy.tsekos:</t>
        </r>
        <r>
          <rPr>
            <sz val="9"/>
            <color indexed="81"/>
            <rFont val="Tahoma"/>
            <family val="2"/>
          </rPr>
          <t xml:space="preserve">
Nepal's greenhouse gas (GHG) emission is only around 0.027% of total global emissions. According to the Second National Communication (2015), GHG emissions from the energy sector is in increasing trend, and this is almost negligible in industry sector. With an agricultural economy, larger portion of GHGs emissions is from the agricultural sector, but the emissions due to increased use of fossil fuels have risen over time. For 1994, total GHGs
emission from energy, industrial processes, agriculture and waste (without Land Use, Land- Use Change and Forestry, LULUCF) was estimated at 29,347 CO2-eq Gt while it has declined to 24,541 CO2-eq Gt for 2000. However, total GHGs emission for 2008 has reached to 30,011 CO2-eq Gt, slightly increased from 1994 emission level. </t>
        </r>
      </text>
    </comment>
    <comment ref="BA131" authorId="0">
      <text>
        <r>
          <rPr>
            <sz val="9"/>
            <color indexed="81"/>
            <rFont val="Tahoma"/>
            <family val="2"/>
          </rPr>
          <t>NI</t>
        </r>
      </text>
    </comment>
    <comment ref="ER131" authorId="0">
      <text>
        <r>
          <rPr>
            <sz val="9"/>
            <color indexed="81"/>
            <rFont val="Tahoma"/>
            <family val="2"/>
          </rPr>
          <t xml:space="preserve">2.1. Save and restore the most vulnerable ecosystems and genetic resources, significantly reduce the rate of species loss, degradation and fragmentation of their habitats </t>
        </r>
      </text>
    </comment>
    <comment ref="Z133" authorId="0">
      <text>
        <r>
          <rPr>
            <b/>
            <sz val="9"/>
            <color indexed="81"/>
            <rFont val="Tahoma"/>
            <family val="2"/>
          </rPr>
          <t xml:space="preserve">Map p 23 (MARENA 2006)
distinguishes 44 types of ecosystem </t>
        </r>
        <r>
          <rPr>
            <sz val="9"/>
            <color indexed="81"/>
            <rFont val="Tahoma"/>
            <family val="2"/>
          </rPr>
          <t xml:space="preserve">
no extent data - but could probably be obtained easily through GIS analysis</t>
        </r>
      </text>
    </comment>
    <comment ref="BA133" authorId="0">
      <text>
        <r>
          <rPr>
            <b/>
            <sz val="9"/>
            <color indexed="81"/>
            <rFont val="Tahoma"/>
            <family val="2"/>
          </rPr>
          <t xml:space="preserve">doesnt match - no target on habitat loss reduction found
Meta 9. </t>
        </r>
        <r>
          <rPr>
            <sz val="9"/>
            <color indexed="81"/>
            <rFont val="Tahoma"/>
            <family val="2"/>
          </rPr>
          <t>Para el 2020, se habrán identificado las principales amenazas y se habrán establecido medidas para la conservación del mangle, arrecifes de coral y especies asociadas en el Caribe y Pacífico Nicaragüense.</t>
        </r>
      </text>
    </comment>
    <comment ref="BF133" authorId="0">
      <text>
        <r>
          <rPr>
            <b/>
            <sz val="9"/>
            <color indexed="81"/>
            <rFont val="Tahoma"/>
            <family val="2"/>
          </rPr>
          <t>Mangles y arrecifes de coral</t>
        </r>
      </text>
    </comment>
    <comment ref="BI133" authorId="0">
      <text>
        <r>
          <rPr>
            <b/>
            <sz val="9"/>
            <color indexed="81"/>
            <rFont val="Tahoma"/>
            <family val="2"/>
          </rPr>
          <t xml:space="preserve">Meta 4 </t>
        </r>
        <r>
          <rPr>
            <sz val="9"/>
            <color indexed="81"/>
            <rFont val="Tahoma"/>
            <family val="2"/>
          </rPr>
          <t xml:space="preserve">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t>
        </r>
        <r>
          <rPr>
            <b/>
            <sz val="9"/>
            <color indexed="81"/>
            <rFont val="Tahoma"/>
            <family val="2"/>
          </rPr>
          <t xml:space="preserve">Meta 11. </t>
        </r>
        <r>
          <rPr>
            <sz val="9"/>
            <color indexed="81"/>
            <rFont val="Tahoma"/>
            <family val="2"/>
          </rPr>
          <t xml:space="preserve">Para el 2020, mediante regeneración natural y reforestación se garantizará la recuperación de dos de los ecosistemas más amenazados: El Bosque seco del pacífico y el bosque de mangle.
</t>
        </r>
        <r>
          <rPr>
            <b/>
            <sz val="9"/>
            <color indexed="81"/>
            <rFont val="Tahoma"/>
            <family val="2"/>
          </rPr>
          <t>Meta 14</t>
        </r>
        <r>
          <rPr>
            <sz val="9"/>
            <color indexed="81"/>
            <rFont val="Tahoma"/>
            <family val="2"/>
          </rPr>
          <t>.Para el 2020, se habrá promovido la gestión integrada de cuencas hidrográficas en cuencas de importancia nacional, con el fin de garantizar el abastecimiento de agua a las poblaciones, el uso productivo y la recuperación de especies de flora y fauna amenazadas.</t>
        </r>
      </text>
    </comment>
    <comment ref="BX133" authorId="0">
      <text>
        <r>
          <rPr>
            <b/>
            <sz val="9"/>
            <color indexed="81"/>
            <rFont val="Tahoma"/>
            <family val="2"/>
          </rPr>
          <t>see page 40</t>
        </r>
      </text>
    </comment>
    <comment ref="CC133" authorId="0">
      <text>
        <r>
          <rPr>
            <b/>
            <sz val="9"/>
            <color indexed="81"/>
            <rFont val="Tahoma"/>
            <family val="2"/>
          </rPr>
          <t xml:space="preserve">Breadown of actions per sector p 51
</t>
        </r>
        <r>
          <rPr>
            <sz val="9"/>
            <color indexed="81"/>
            <rFont val="Tahoma"/>
            <family val="2"/>
          </rPr>
          <t xml:space="preserve">
En función de asegurar la defensa de los recursos naturales, establece las líneas de acción siguientes:
• Aumentar las áreas de restauración y conservación de los corredores biológicos para propiciar el desplazamiento, difusión y reproducción de las especies en peligro de extinción, faunísticas y florísticas de Nicaragua y Mesoamérica.
• Establecer un Sistema para la Protección de Humedales como Estrategia de Conservación de Biodiversidad.
• Aumentar el Sistema de Monitoreo en los Ecosistemas a partir de la observación sistemática, para determinar cambios inducidos por el cambio climático y fenómenos por ocurrencia de eventos meteorológicos extremos que ocasionan disturbios, degradación forestal y de vegetación en sistemas naturales.
• Velar por la conservación y buen uso de las plantas y animales dentro y fuera de las áreas protegidas a través de la vigilancia y control de los recursos naturales, principalmente las especies en peligro de extinción.
La Política del Sector Ganadero entre otras cosas establece:
• Transferencia de tecnología ganadera amigables con el ambiente.
• Implementación de actividades silvopastoriles y agro silvopastoriles.
• Implementación del sistema de trazabilidad bovina.
• Fomento del manejo sostenible de la tierra para reducir la degradación de pasturas y la presión sobre los bosques naturales.
La Política del Sector Agrícola:
• Soberanía y seguridad alimentaria.
• Implementación del Programa Nacional de Resguardo de Recursos Genéticos Criollos y Acriollados.
• Anclaje de la frontera agrícola para la sostenibilidad ambiental de los Pueblos Indígenas y Afrodescendientes.
• La investigación, herramienta clave en la ampliación y preservación de los recursos naturales: enfermedades del café, adaptación de cultivos al cambio climático.
• Impulsar el cultivo de productos no tradicionales.
• Programas de generación y acceso a recursos genéticos en el mejoramiento genético de especies que aseguren mayores rendimientos productivos.
• Desarrollo de las actividades agroforestales, silvopastoriles y agro silvopastoriles en las unidades agrícolas familiares y comunitarias, favoreciendo la preservación de la biodiversidad.
• Construcción de 5 laboratorios de tecnología avanzada para la certificación de semillas.
• Creación de bancos comunitarios de recursos genéticos y plántulas de granos básicos, hortalizas, raíces y tubérculos de variedades con alto contenido nutricional.
La Política del Sector Pesquero:
• Reconversión de la pesca por buceo y la pesca de escama.
• Implementación de la acuicultura y camaronicultura aprovechando los sistemas lagunares costeros.
La Política del Sector Energético:
• Promoción de Energía Alternativa: solar, eólica, biodigestores, hidráulica, geotermia, biomasa y viento.
La Política delSector Minería:
• Promover una industria minera ambientalmente sostenible, que permita el uso y transferencia de tecnologías limpias.
• Reconversión de la minería artesanal (güiriseros) para eliminar el uso de mercurio y reducir la contaminación ambiental.</t>
        </r>
      </text>
    </comment>
    <comment ref="CQ133" authorId="0">
      <text>
        <r>
          <rPr>
            <sz val="9"/>
            <color indexed="81"/>
            <rFont val="Tahoma"/>
            <family val="2"/>
          </rPr>
          <t>El Gobierno de Reconciliación y Unidad Nacional(GRUN), cuyo modelo se fundamenta en principios Cristianos, Socialistas y Solidarios, promueve, a través del Plan Nacional de Desarrollo Humano (PNDH)lineamientos estratégicos, siendo uno de “La Protección De la Madre Tierra, Adaptación ante El Cambio Climático y Gestión Integral de Riesgos Ante Desastres”, reforzando con ello el compromiso del Gobierno y del país de heredar a las futuras generaciones de nicaragüenses un ambiente saludable que permita el desarrollo humano sostenible, fortaleciendo los principios, prácticas y valores y restituyendo los derechos a la población protagonista.
Proyecto de Adaptación al Cambio Climático en el Sector de Agua y Saneamiento(PACCA)
diferentes ámbitos temáticos de trascendencia nacional, tales como: agua, energía, salud, educación, turismo, producción sostenible, bienestar social, protección de cuencas y acciones de adaptación al cambio climático,yen la gestión de las áreas protegidas del país.
Las principales amenazas que la biodiversidad de Nicaragua enfrenta pueden clasificarse en dos grandes categorías: Amenazas antropogénicas y amenazas por fenómenos naturales extremos. Entre ellas se mencionan las siguientes:
• Transformación de los Ecosistemas
• Explotación irracional de recursos
• Contaminación
• Construcciones de infraestructuras horizontales
• Cambio climático</t>
        </r>
      </text>
    </comment>
    <comment ref="CV133" authorId="0">
      <text>
        <r>
          <rPr>
            <b/>
            <sz val="9"/>
            <color indexed="81"/>
            <rFont val="Tahoma"/>
            <family val="2"/>
          </rPr>
          <t>Lecciones aprendidas</t>
        </r>
        <r>
          <rPr>
            <sz val="9"/>
            <color indexed="81"/>
            <rFont val="Tahoma"/>
            <family val="2"/>
          </rPr>
          <t xml:space="preserve">
Trabajo conjunto entre las diferentes convenciones suscritas por Nicaragua: Convenio de Diversidad Biológica,Convenio de Naciones Unidas de Lucha contra la Desertificación, CITES, RAMSAR y el Convenio Marco de Naciones Unidas sobre el Cambio Climático.</t>
        </r>
      </text>
    </comment>
    <comment ref="CW133" authorId="0">
      <text>
        <r>
          <rPr>
            <b/>
            <sz val="9"/>
            <color indexed="81"/>
            <rFont val="Tahoma"/>
            <family val="2"/>
          </rPr>
          <t>map of PA p 61
(no area)</t>
        </r>
      </text>
    </comment>
    <comment ref="ER133" authorId="0">
      <text>
        <r>
          <rPr>
            <sz val="9"/>
            <color indexed="81"/>
            <rFont val="Tahoma"/>
            <family val="2"/>
          </rPr>
          <t>NI</t>
        </r>
      </text>
    </comment>
    <comment ref="H134" authorId="2">
      <text>
        <r>
          <rPr>
            <b/>
            <sz val="9"/>
            <color indexed="81"/>
            <rFont val="Calibri"/>
            <family val="2"/>
          </rPr>
          <t>Billy Tsekos:</t>
        </r>
        <r>
          <rPr>
            <sz val="9"/>
            <color indexed="81"/>
            <rFont val="Calibri"/>
            <family val="2"/>
          </rPr>
          <t xml:space="preserve">
2015</t>
        </r>
      </text>
    </comment>
    <comment ref="L134" authorId="0">
      <text>
        <r>
          <rPr>
            <b/>
            <sz val="9"/>
            <color indexed="81"/>
            <rFont val="Tahoma"/>
            <family val="2"/>
          </rPr>
          <t>3.2 million ha</t>
        </r>
      </text>
    </comment>
    <comment ref="W134" authorId="2">
      <text>
        <r>
          <rPr>
            <b/>
            <sz val="9"/>
            <color indexed="81"/>
            <rFont val="Tahoma"/>
            <family val="2"/>
          </rPr>
          <t>Billy Tsekos:</t>
        </r>
        <r>
          <rPr>
            <sz val="9"/>
            <color indexed="81"/>
            <rFont val="Tahoma"/>
            <family val="2"/>
          </rPr>
          <t xml:space="preserve">
The loss of 100,000 ha per year to deforestation is due to the clearing of land for agriculture and the exploitation of timber, used principally as household firewood. The shrub-steppe habitat (grazing areas) is giving way to agriculture, with around 4 million ha of grazing land disappearing between 1975 and 2013. This makes it necessary to have an approach based on climate-smart agriculture (CSA). The figure below shows the changes in km² of agricultural land and shrub-steppes in Niger from 1975 to 2013 (CILSS/USGS, 2015).
</t>
        </r>
      </text>
    </comment>
    <comment ref="Z134" authorId="2">
      <text>
        <r>
          <rPr>
            <b/>
            <sz val="9"/>
            <color indexed="81"/>
            <rFont val="Tahoma"/>
            <family val="2"/>
          </rPr>
          <t>Billy Tsekos:</t>
        </r>
        <r>
          <rPr>
            <sz val="9"/>
            <color indexed="81"/>
            <rFont val="Tahoma"/>
            <family val="2"/>
          </rPr>
          <t xml:space="preserve">
</t>
        </r>
        <r>
          <rPr>
            <b/>
            <sz val="9"/>
            <color indexed="81"/>
            <rFont val="Tahoma"/>
            <family val="2"/>
          </rPr>
          <t>NBSAP-P.18:</t>
        </r>
        <r>
          <rPr>
            <sz val="9"/>
            <color indexed="81"/>
            <rFont val="Tahoma"/>
            <family val="2"/>
          </rPr>
          <t xml:space="preserve"> La superficie des formations forestières est estimée à 109 950 548 ha
</t>
        </r>
        <r>
          <rPr>
            <b/>
            <sz val="9"/>
            <color indexed="81"/>
            <rFont val="Tahoma"/>
            <family val="2"/>
          </rPr>
          <t>NBSAP-P.25</t>
        </r>
        <r>
          <rPr>
            <sz val="9"/>
            <color indexed="81"/>
            <rFont val="Tahoma"/>
            <family val="2"/>
          </rPr>
          <t xml:space="preserve">: En 2007, la superficie emblavée par les cultures de mil, sorgho, niébé, maïs, riz et arachide s’élève à 15 880 460 ha (MAG, 2012) dont 43 % par la culture du mil, 34 % par celle du niébé et 20 % par celle de sorgho. La production de ces cultures est de 4 828 759 tonnes dont 60 % pour le mil, 20 % pour le sorgho
et 17 % pour le niébé.
</t>
        </r>
        <r>
          <rPr>
            <b/>
            <sz val="9"/>
            <color indexed="81"/>
            <rFont val="Tahoma"/>
            <family val="2"/>
          </rPr>
          <t xml:space="preserve">
NR-P.2:</t>
        </r>
        <r>
          <rPr>
            <sz val="9"/>
            <color indexed="81"/>
            <rFont val="Tahoma"/>
            <family val="2"/>
          </rPr>
          <t xml:space="preserve"> Le Niger s'etend sur une superficie de 1 267 000 km² (figure 1) dont les trois quarts (3/4) sont désertiques.</t>
        </r>
      </text>
    </comment>
    <comment ref="BL134" authorId="2">
      <text>
        <r>
          <rPr>
            <b/>
            <sz val="9"/>
            <color indexed="81"/>
            <rFont val="Tahoma"/>
            <family val="2"/>
          </rPr>
          <t>Billy Tsekos:</t>
        </r>
        <r>
          <rPr>
            <sz val="9"/>
            <color indexed="81"/>
            <rFont val="Tahoma"/>
            <family val="2"/>
          </rPr>
          <t xml:space="preserve">
</t>
        </r>
        <r>
          <rPr>
            <b/>
            <sz val="9"/>
            <color indexed="81"/>
            <rFont val="Tahoma"/>
            <family val="2"/>
          </rPr>
          <t>5 NR- P.40 -</t>
        </r>
        <r>
          <rPr>
            <sz val="9"/>
            <color indexed="81"/>
            <rFont val="Tahoma"/>
            <family val="2"/>
          </rPr>
          <t xml:space="preserve"> Plusieurs actions de conservation et de restauration des écosystèmes ont été menées. Il s’agit de :
*  l’institutionnalisation de la fête de l’arbre le jour de la commémoration de l’indépendance nationale (3 août) en vue entre autres d’accroître le couvert forestier;
* le renforcement des puits de carbone à travers le reboisement, la régénération naturelle assistée et l’aménagement des forêts ainsi que les parcs agroforestiers pour améliorer la résilience des écosystèmes;
* la mise en œuvre du projet ‘’Biocarbone’’ avec une plantation de 8 000 ha de Acacia senegal et Acacia seyal;
*  la récupération des terres dégradées dans les zones agro pastorales;</t>
        </r>
      </text>
    </comment>
    <comment ref="BP134" authorId="2">
      <text>
        <r>
          <rPr>
            <b/>
            <sz val="9"/>
            <color indexed="81"/>
            <rFont val="Tahoma"/>
            <family val="2"/>
          </rPr>
          <t>Billy Tsekos:
NBSAP-P.40:</t>
        </r>
        <r>
          <rPr>
            <sz val="9"/>
            <color indexed="81"/>
            <rFont val="Tahoma"/>
            <family val="2"/>
          </rPr>
          <t xml:space="preserve"> 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t>
        </r>
        <r>
          <rPr>
            <b/>
            <sz val="9"/>
            <color indexed="81"/>
            <rFont val="Tahoma"/>
            <family val="2"/>
          </rPr>
          <t xml:space="preserve">
</t>
        </r>
        <r>
          <rPr>
            <sz val="9"/>
            <color indexed="81"/>
            <rFont val="Tahoma"/>
            <family val="2"/>
          </rPr>
          <t xml:space="preserve">
</t>
        </r>
        <r>
          <rPr>
            <b/>
            <sz val="9"/>
            <color indexed="81"/>
            <rFont val="Tahoma"/>
            <family val="2"/>
          </rPr>
          <t>NR-P.42:</t>
        </r>
        <r>
          <rPr>
            <sz val="9"/>
            <color indexed="81"/>
            <rFont val="Tahoma"/>
            <family val="2"/>
          </rPr>
          <t xml:space="preserve"> Le Plan Forestier National (PFN)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t>
        </r>
      </text>
    </comment>
    <comment ref="BT134" authorId="2">
      <text>
        <r>
          <rPr>
            <b/>
            <sz val="9"/>
            <color indexed="81"/>
            <rFont val="Tahoma"/>
            <family val="2"/>
          </rPr>
          <t>Billy Tsekos:</t>
        </r>
        <r>
          <rPr>
            <sz val="9"/>
            <color indexed="81"/>
            <rFont val="Tahoma"/>
            <family val="2"/>
          </rPr>
          <t xml:space="preserve">
</t>
        </r>
        <r>
          <rPr>
            <b/>
            <sz val="9"/>
            <color indexed="81"/>
            <rFont val="Tahoma"/>
            <family val="2"/>
          </rPr>
          <t>5 NR- P.29 -</t>
        </r>
        <r>
          <rPr>
            <sz val="9"/>
            <color indexed="81"/>
            <rFont val="Tahoma"/>
            <family val="2"/>
          </rPr>
          <t xml:space="preserve"> Au plan politique, la gestion durable des ressources naturelles en général est inscrite parmi les priorités. A titre illustratif, le Plan d’Investissement N°6 du Plan d’Action 2012- 2015 de la Stratégie de l’Initiative 3N prévoit les actions suivantes en matière de réhabilitation et de la préservation de la biodiversité :
* la réhabilitation de 150 000 ha de terres dégradées par des travaux de CES/DRS ; 
</t>
        </r>
        <r>
          <rPr>
            <b/>
            <sz val="9"/>
            <color indexed="81"/>
            <rFont val="Tahoma"/>
            <family val="2"/>
          </rPr>
          <t xml:space="preserve">5 NR-P.8 </t>
        </r>
        <r>
          <rPr>
            <sz val="9"/>
            <color indexed="81"/>
            <rFont val="Tahoma"/>
            <family val="2"/>
          </rPr>
          <t xml:space="preserve">Pour les forêts urbaines et périurbaines, de nombreuses plantations (dont la ceinture verte de Niamey vaste de 2500 hectares) ont été réalisées par l’Etat, les collectivités, les projets et les privés, souvent avec les populations locales.
</t>
        </r>
        <r>
          <rPr>
            <b/>
            <sz val="9"/>
            <color indexed="81"/>
            <rFont val="Tahoma"/>
            <family val="2"/>
          </rPr>
          <t xml:space="preserve">
5 NR-P.26</t>
        </r>
        <r>
          <rPr>
            <sz val="9"/>
            <color indexed="81"/>
            <rFont val="Tahoma"/>
            <family val="2"/>
          </rPr>
          <t xml:space="preserve"> Mise en oeuvre d’un Programme national de restauration et de récupération des terres dégradées</t>
        </r>
      </text>
    </comment>
    <comment ref="BX134" authorId="2">
      <text>
        <r>
          <rPr>
            <b/>
            <sz val="9"/>
            <color indexed="81"/>
            <rFont val="Tahoma"/>
            <family val="2"/>
          </rPr>
          <t>Billy Tsekos:</t>
        </r>
        <r>
          <rPr>
            <sz val="9"/>
            <color indexed="81"/>
            <rFont val="Tahoma"/>
            <family val="2"/>
          </rPr>
          <t xml:space="preserve">
</t>
        </r>
        <r>
          <rPr>
            <b/>
            <sz val="9"/>
            <color indexed="81"/>
            <rFont val="Tahoma"/>
            <family val="2"/>
          </rPr>
          <t>NBSAP-P.35:</t>
        </r>
        <r>
          <rPr>
            <sz val="9"/>
            <color indexed="81"/>
            <rFont val="Tahoma"/>
            <family val="2"/>
          </rPr>
          <t xml:space="preserve"> Les principales causes de ces menaces sont :
 les sécheresses récurrentes ;
 la fragmentation des écosystèmes ;
 l’érosion éolienne et hydrique ;
 la vulnérabilité aux effets des changements climatiques ;
 l’ensablement et l’envasement ;
 l’envahissement des zones humides par des plantes envahissantes ;
 la pauvreté des sols ;
 l’assèchement des zones humides ;
 l’extension des superficies cultivées ;
 l’avancée du front agricole au niveau de certaines aires protégées
 le braconnage ;
 les feux de brousse ;
 la surexploitation des ressources naturelles ;
 le non respect des normes d’aménagements ;
 la dégradation de l’environnement liée à l’exploitation minière ;
 la pression pastorale ;
 l’organisation insuffisante des acteurs.</t>
        </r>
      </text>
    </comment>
    <comment ref="CC134" authorId="2">
      <text>
        <r>
          <rPr>
            <b/>
            <sz val="9"/>
            <color indexed="81"/>
            <rFont val="Tahoma"/>
            <family val="2"/>
          </rPr>
          <t>Billy Tsekos:</t>
        </r>
        <r>
          <rPr>
            <sz val="9"/>
            <color indexed="81"/>
            <rFont val="Tahoma"/>
            <family val="2"/>
          </rPr>
          <t xml:space="preserve">
</t>
        </r>
        <r>
          <rPr>
            <b/>
            <sz val="9"/>
            <color indexed="81"/>
            <rFont val="Tahoma"/>
            <family val="2"/>
          </rPr>
          <t xml:space="preserve">NBSAP-P.40: </t>
        </r>
        <r>
          <rPr>
            <sz val="9"/>
            <color indexed="81"/>
            <rFont val="Tahoma"/>
            <family val="2"/>
          </rPr>
          <t xml:space="preserve">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t>
        </r>
      </text>
    </comment>
    <comment ref="CP134" authorId="2">
      <text>
        <r>
          <rPr>
            <b/>
            <sz val="9"/>
            <color indexed="81"/>
            <rFont val="Tahoma"/>
            <family val="2"/>
          </rPr>
          <t>Billy Tsekos:</t>
        </r>
        <r>
          <rPr>
            <sz val="9"/>
            <color indexed="81"/>
            <rFont val="Tahoma"/>
            <family val="2"/>
          </rPr>
          <t xml:space="preserve">
</t>
        </r>
        <r>
          <rPr>
            <b/>
            <sz val="9"/>
            <color indexed="81"/>
            <rFont val="Tahoma"/>
            <family val="2"/>
          </rPr>
          <t>NBSAP-P.55:</t>
        </r>
        <r>
          <rPr>
            <sz val="9"/>
            <color indexed="81"/>
            <rFont val="Tahoma"/>
            <family val="2"/>
          </rPr>
          <t xml:space="preserve"> A court terme, la mission assignée à la SNPA/DB est « d’entreprendre des actions concrètes et efficaces en vue d’augmenter la résilience des écosystèmes face aux effets néfastes des changements climatiques et améliorer la gestion de la diversité biologique afin de s’assurer que d’ici 2020, sa perte est réduite ».</t>
        </r>
      </text>
    </comment>
    <comment ref="CQ134" authorId="2">
      <text>
        <r>
          <rPr>
            <b/>
            <sz val="9"/>
            <color indexed="81"/>
            <rFont val="Tahoma"/>
            <family val="2"/>
          </rPr>
          <t>Billy Tsekos:</t>
        </r>
        <r>
          <rPr>
            <sz val="9"/>
            <color indexed="81"/>
            <rFont val="Tahoma"/>
            <family val="2"/>
          </rPr>
          <t xml:space="preserve">
</t>
        </r>
        <r>
          <rPr>
            <b/>
            <sz val="9"/>
            <color indexed="81"/>
            <rFont val="Tahoma"/>
            <family val="2"/>
          </rPr>
          <t>NR-P.42:</t>
        </r>
        <r>
          <rPr>
            <sz val="9"/>
            <color indexed="81"/>
            <rFont val="Tahoma"/>
            <family val="2"/>
          </rPr>
          <t xml:space="preserve"> </t>
        </r>
        <r>
          <rPr>
            <b/>
            <sz val="9"/>
            <color indexed="81"/>
            <rFont val="Tahoma"/>
            <family val="2"/>
          </rPr>
          <t>Le Plan Forestier National (PFN)</t>
        </r>
        <r>
          <rPr>
            <sz val="9"/>
            <color indexed="81"/>
            <rFont val="Tahoma"/>
            <family val="2"/>
          </rPr>
          <t xml:space="preserve">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
</t>
        </r>
        <r>
          <rPr>
            <b/>
            <sz val="9"/>
            <color indexed="81"/>
            <rFont val="Tahoma"/>
            <family val="2"/>
          </rPr>
          <t xml:space="preserve">NR-P.57: </t>
        </r>
        <r>
          <rPr>
            <sz val="9"/>
            <color indexed="81"/>
            <rFont val="Tahoma"/>
            <family val="2"/>
          </rPr>
          <t xml:space="preserve">Objectif Stratégique 5: Faire face aux effets des changements climatiques. Il s’agit de renforcer
les capacités d’adaptation et d’atténuation. 
</t>
        </r>
      </text>
    </comment>
    <comment ref="CV134" authorId="2">
      <text>
        <r>
          <rPr>
            <b/>
            <sz val="9"/>
            <color indexed="81"/>
            <rFont val="Tahoma"/>
            <family val="2"/>
          </rPr>
          <t>Billy Tsekos:</t>
        </r>
        <r>
          <rPr>
            <sz val="9"/>
            <color indexed="81"/>
            <rFont val="Tahoma"/>
            <family val="2"/>
          </rPr>
          <t xml:space="preserve">
</t>
        </r>
        <r>
          <rPr>
            <b/>
            <sz val="9"/>
            <color indexed="81"/>
            <rFont val="Tahoma"/>
            <family val="2"/>
          </rPr>
          <t>NBSAP-P.43:</t>
        </r>
        <r>
          <rPr>
            <sz val="9"/>
            <color indexed="81"/>
            <rFont val="Tahoma"/>
            <family val="2"/>
          </rPr>
          <t xml:space="preserve"> Programme d’Actions National de Lutte Contre la Désertification et de Gestion de Ressources Naturelles </t>
        </r>
      </text>
    </comment>
    <comment ref="CW134"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De ces réalisations, on retient entre autres le rehaussement du taux de couverture des aires protégées qui</t>
        </r>
        <r>
          <rPr>
            <b/>
            <sz val="9"/>
            <color indexed="81"/>
            <rFont val="Tahoma"/>
            <family val="2"/>
          </rPr>
          <t xml:space="preserve"> passe de 6,6% à 14,29%,</t>
        </r>
        <r>
          <rPr>
            <sz val="9"/>
            <color indexed="81"/>
            <rFont val="Tahoma"/>
            <family val="2"/>
          </rPr>
          <t xml:space="preserve"> (MH/E, 2012), le reboisement à travers des opérations de récupération de terres  dégradées, la protection et la surveillance de la diversité biologique, l’amélioration de la gestion des aires protégées, l’aménagement des périmètres agro-sylvo-pastoraux, la mise en place d’un cadre national de biosécurité.</t>
        </r>
      </text>
    </comment>
    <comment ref="DG134" authorId="2">
      <text>
        <r>
          <rPr>
            <b/>
            <sz val="9"/>
            <color indexed="81"/>
            <rFont val="Tahoma"/>
            <family val="2"/>
          </rPr>
          <t>Billy Tsekos:
Reduction of GHG emissions from now to 2030</t>
        </r>
        <r>
          <rPr>
            <sz val="9"/>
            <color indexed="81"/>
            <rFont val="Tahoma"/>
            <family val="2"/>
          </rPr>
          <t xml:space="preserve">
- Conditional reduction of 25% (BaU 2020) and 34.6% (2030, or a
reduction of 33,400 GgCO2e). </t>
        </r>
      </text>
    </comment>
    <comment ref="DK134" authorId="2">
      <text>
        <r>
          <rPr>
            <b/>
            <sz val="9"/>
            <color indexed="81"/>
            <rFont val="Tahoma"/>
            <family val="2"/>
          </rPr>
          <t>Billy Tsekos:</t>
        </r>
        <r>
          <rPr>
            <sz val="9"/>
            <color indexed="81"/>
            <rFont val="Tahoma"/>
            <family val="2"/>
          </rPr>
          <t xml:space="preserve">
</t>
        </r>
        <r>
          <rPr>
            <b/>
            <sz val="9"/>
            <color indexed="81"/>
            <rFont val="Tahoma"/>
            <family val="2"/>
          </rPr>
          <t>AFOLU (Agriculture, Forestry and Other Land Uses) :</t>
        </r>
        <r>
          <rPr>
            <sz val="9"/>
            <color indexed="81"/>
            <rFont val="Tahoma"/>
            <family val="2"/>
          </rPr>
          <t xml:space="preserve">
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t>
        </r>
      </text>
    </comment>
    <comment ref="DL134" authorId="2">
      <text>
        <r>
          <rPr>
            <b/>
            <sz val="9"/>
            <color indexed="81"/>
            <rFont val="Tahoma"/>
            <family val="2"/>
          </rPr>
          <t>Billy Tsekos:</t>
        </r>
        <r>
          <rPr>
            <sz val="9"/>
            <color indexed="81"/>
            <rFont val="Tahoma"/>
            <family val="2"/>
          </rPr>
          <t xml:space="preserve">
</t>
        </r>
        <r>
          <rPr>
            <b/>
            <sz val="9"/>
            <color indexed="81"/>
            <rFont val="Tahoma"/>
            <family val="2"/>
          </rPr>
          <t>Application of all Strategic Framework for Sustainable Land Management (SF-SLM) techniques:</t>
        </r>
        <r>
          <rPr>
            <sz val="9"/>
            <color indexed="81"/>
            <rFont val="Tahoma"/>
            <family val="2"/>
          </rPr>
          <t xml:space="preserve">
- Restoration of agricultural/forestry/pastoral lands: 1,030 000 ha.
- Assisted natural regeneration: 1,100,000 ha.
- Fixation of dunes : 550,000 ha.
- Management of natural forests: 2,220,000 ha.
- Hedgerows: 145,000 km.
- Planting of multiuse species: 750,000 ha.
- Planting of Moringa oleifera : 125 000 ha.
- Seeding of roadways: 304,500 ha.
- Private forestry: 75,000 ha.</t>
        </r>
      </text>
    </comment>
    <comment ref="DM134" authorId="2">
      <text>
        <r>
          <rPr>
            <b/>
            <sz val="9"/>
            <color indexed="81"/>
            <rFont val="Tahoma"/>
            <family val="2"/>
          </rPr>
          <t>Billy Tsekos:</t>
        </r>
        <r>
          <rPr>
            <sz val="9"/>
            <color indexed="81"/>
            <rFont val="Tahoma"/>
            <family val="2"/>
          </rPr>
          <t xml:space="preserve">
30,801 GgCO2e. (Second National Communication (SCN), 2000)</t>
        </r>
      </text>
    </comment>
    <comment ref="DN134" authorId="2">
      <text>
        <r>
          <rPr>
            <b/>
            <sz val="9"/>
            <color indexed="81"/>
            <rFont val="Tahoma"/>
            <family val="2"/>
          </rPr>
          <t>Billy Tsekos:</t>
        </r>
        <r>
          <rPr>
            <sz val="9"/>
            <color indexed="81"/>
            <rFont val="Tahoma"/>
            <family val="2"/>
          </rPr>
          <t xml:space="preserve">
 Land use, land-use change and forestry (LULUCF) </t>
        </r>
        <r>
          <rPr>
            <b/>
            <sz val="9"/>
            <color indexed="81"/>
            <rFont val="Tahoma"/>
            <family val="2"/>
          </rPr>
          <t>= 55.6%</t>
        </r>
      </text>
    </comment>
    <comment ref="DO134" authorId="2">
      <text>
        <r>
          <rPr>
            <b/>
            <sz val="9"/>
            <color indexed="81"/>
            <rFont val="Tahoma"/>
            <family val="2"/>
          </rPr>
          <t>Billy Tsekos:</t>
        </r>
        <r>
          <rPr>
            <sz val="9"/>
            <color indexed="81"/>
            <rFont val="Tahoma"/>
            <family val="2"/>
          </rPr>
          <t xml:space="preserve">
agriculture </t>
        </r>
        <r>
          <rPr>
            <b/>
            <sz val="9"/>
            <color indexed="81"/>
            <rFont val="Tahoma"/>
            <family val="2"/>
          </rPr>
          <t>= 34.6%</t>
        </r>
        <r>
          <rPr>
            <sz val="9"/>
            <color indexed="81"/>
            <rFont val="Tahoma"/>
            <family val="2"/>
          </rPr>
          <t xml:space="preserve">
The agriculture sub-sector consists of agricultural and grazing activities and its GHG emissions come from enteric fermentation (60%), manure management (39%), on-site burning of residues, agricultural soils and rice growing (1%).
</t>
        </r>
      </text>
    </comment>
    <comment ref="H135" authorId="2">
      <text>
        <r>
          <rPr>
            <b/>
            <sz val="9"/>
            <color indexed="81"/>
            <rFont val="Calibri"/>
            <family val="2"/>
          </rPr>
          <t>Billy Tsekos:</t>
        </r>
        <r>
          <rPr>
            <sz val="9"/>
            <color indexed="81"/>
            <rFont val="Calibri"/>
            <family val="2"/>
          </rPr>
          <t xml:space="preserve">
2015</t>
        </r>
      </text>
    </comment>
    <comment ref="W135" authorId="2">
      <text>
        <r>
          <rPr>
            <b/>
            <sz val="9"/>
            <color indexed="81"/>
            <rFont val="Tahoma"/>
            <family val="2"/>
          </rPr>
          <t>Billy Tsekos:</t>
        </r>
        <r>
          <rPr>
            <sz val="9"/>
            <color indexed="81"/>
            <rFont val="Tahoma"/>
            <family val="2"/>
          </rPr>
          <t xml:space="preserve">
Halting deforestation and the conservation of remaining natural forests, as well as reversing forest degradation is important. A failure to do so undermines the productive capacity of the land, as well as key ecosystems. The use of fuel wood and charcoal for fuel is also a major source of degradation of Nigeria’s forests. By some estimates, at the current rate of deforestation, there will be no significant forest remaining in a few years’ time, unless strong action is taken. It must, however, be recognized that charcoal provides essential fuel for many in Nigeria and its use cannot simply be reduced without providing alternatives.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r>
      </text>
    </comment>
    <comment ref="Z135" authorId="2">
      <text>
        <r>
          <rPr>
            <b/>
            <sz val="9"/>
            <color indexed="81"/>
            <rFont val="Tahoma"/>
            <family val="2"/>
          </rPr>
          <t>Billy Tsekos:</t>
        </r>
        <r>
          <rPr>
            <sz val="9"/>
            <color indexed="81"/>
            <rFont val="Tahoma"/>
            <family val="2"/>
          </rPr>
          <t xml:space="preserve">
</t>
        </r>
        <r>
          <rPr>
            <b/>
            <sz val="9"/>
            <color indexed="81"/>
            <rFont val="Tahoma"/>
            <family val="2"/>
          </rPr>
          <t>NBSAP-p.9:</t>
        </r>
        <r>
          <rPr>
            <sz val="9"/>
            <color indexed="81"/>
            <rFont val="Tahoma"/>
            <family val="2"/>
          </rPr>
          <t xml:space="preserve"> Map of Nigeria showing vegetation zones and some important sites for Biodiversity</t>
        </r>
      </text>
    </comment>
    <comment ref="AH135" authorId="2">
      <text>
        <r>
          <rPr>
            <b/>
            <sz val="9"/>
            <color indexed="81"/>
            <rFont val="Tahoma"/>
            <family val="2"/>
          </rPr>
          <t xml:space="preserve">Billy Tsekos:
NBSAP-P.9: </t>
        </r>
        <r>
          <rPr>
            <sz val="9"/>
            <color indexed="81"/>
            <rFont val="Tahoma"/>
            <family val="2"/>
          </rPr>
          <t xml:space="preserve">
</t>
        </r>
        <r>
          <rPr>
            <b/>
            <sz val="9"/>
            <color indexed="81"/>
            <rFont val="Tahoma"/>
            <family val="2"/>
          </rPr>
          <t>Forest Reserves</t>
        </r>
        <r>
          <rPr>
            <sz val="9"/>
            <color indexed="81"/>
            <rFont val="Tahoma"/>
            <family val="2"/>
          </rPr>
          <t xml:space="preserve">: 50% still maintain their FR status, while the remaining 50% have either been de-reserved or have been encroached upon and converted to either farmlands or residential areas.
</t>
        </r>
        <r>
          <rPr>
            <b/>
            <sz val="9"/>
            <color indexed="81"/>
            <rFont val="Tahoma"/>
            <family val="2"/>
          </rPr>
          <t xml:space="preserve">NR-P.18:  </t>
        </r>
        <r>
          <rPr>
            <sz val="9"/>
            <color indexed="81"/>
            <rFont val="Tahoma"/>
            <family val="2"/>
          </rPr>
          <t>World Rainforest Movement (1999) records show that 70-80% of Nigeria’s original forest has disappeared and presently the area occupied by forests is reduced to 12%. In the period between 2000 and 2005, Nigeria lost about 2, 048, and 000 ha of forest (FAO 2005). Although Nigerian government established several forest reserves for conservation of forest resources, these forest reserves have been seriously neglected and received little or no improvement in terms of investment and management.</t>
        </r>
      </text>
    </comment>
    <comment ref="AO135" authorId="2">
      <text>
        <r>
          <rPr>
            <b/>
            <sz val="9"/>
            <color indexed="81"/>
            <rFont val="Tahoma"/>
            <family val="2"/>
          </rPr>
          <t>Billy Tsekos:</t>
        </r>
        <r>
          <rPr>
            <sz val="9"/>
            <color indexed="81"/>
            <rFont val="Tahoma"/>
            <family val="2"/>
          </rPr>
          <t xml:space="preserve">
</t>
        </r>
        <r>
          <rPr>
            <b/>
            <sz val="9"/>
            <color indexed="81"/>
            <rFont val="Tahoma"/>
            <family val="2"/>
          </rPr>
          <t>NBSAP-P.22:</t>
        </r>
        <r>
          <rPr>
            <sz val="9"/>
            <color indexed="81"/>
            <rFont val="Tahoma"/>
            <family val="2"/>
          </rPr>
          <t xml:space="preserve"> Nigeria, Africa’s most populous country, reports losing 867, 000 Ha of range land and crop land to desertification each year
</t>
        </r>
        <r>
          <rPr>
            <b/>
            <sz val="9"/>
            <color indexed="81"/>
            <rFont val="Tahoma"/>
            <family val="2"/>
          </rPr>
          <t>NR-P.22:</t>
        </r>
        <r>
          <rPr>
            <sz val="9"/>
            <color indexed="81"/>
            <rFont val="Tahoma"/>
            <family val="2"/>
          </rPr>
          <t xml:space="preserve"> For Nigeria, the rate of deforestation due to poor land use planning has been alarming. Bisong (2012) reported that “Nigeria’s forests are threatened as the forest cover declined from approximately 24 million hectares in 1976 to 15 million hectares in 1995 and down to 9.6 million hectares in 2011.”
</t>
        </r>
        <r>
          <rPr>
            <b/>
            <sz val="9"/>
            <color indexed="81"/>
            <rFont val="Tahoma"/>
            <family val="2"/>
          </rPr>
          <t xml:space="preserve">NR-P.28: </t>
        </r>
        <r>
          <rPr>
            <sz val="9"/>
            <color indexed="81"/>
            <rFont val="Tahoma"/>
            <family val="2"/>
          </rPr>
          <t>The Nigerian Government is currently concerned about rising deforestation and environmental degradation, which is estimated to cost the country over $6 billion a year.</t>
        </r>
      </text>
    </comment>
    <comment ref="AV135" authorId="2">
      <text>
        <r>
          <rPr>
            <b/>
            <sz val="9"/>
            <color indexed="81"/>
            <rFont val="Tahoma"/>
            <family val="2"/>
          </rPr>
          <t>Billy Tsekos:</t>
        </r>
        <r>
          <rPr>
            <sz val="9"/>
            <color indexed="81"/>
            <rFont val="Tahoma"/>
            <family val="2"/>
          </rPr>
          <t xml:space="preserve">
</t>
        </r>
        <r>
          <rPr>
            <b/>
            <sz val="9"/>
            <color indexed="81"/>
            <rFont val="Tahoma"/>
            <family val="2"/>
          </rPr>
          <t>NBSAP-P.12:</t>
        </r>
        <r>
          <rPr>
            <sz val="9"/>
            <color indexed="81"/>
            <rFont val="Tahoma"/>
            <family val="2"/>
          </rPr>
          <t xml:space="preserve"> Biodiversity in Nigeria is under enormous pressure. For instance, the deforestation rate in Nigeria is about 3.5% per year, translating to a loss of 350,000-400,000 ha of forest land per year (Ladipo, 2010). Recent studies show the remainder forests occupy 923,767 km2 or about 10 million ha (Ladipo, 2010). This is about 10% of Nigeria's forest land area and well below FAO's recommended national minimum of 25% (Ladipo, 2010). Drivers of biodiversity loss in Nigeria include agriculture, pollution, extractive industries, construction industries, bush burning, hunting, over fishing, climate change among others. </t>
        </r>
      </text>
    </comment>
    <comment ref="BA135" authorId="0">
      <text>
        <r>
          <rPr>
            <sz val="9"/>
            <color indexed="81"/>
            <rFont val="Tahoma"/>
            <family val="2"/>
          </rPr>
          <t xml:space="preserve">Target 3. By 2020, adoption of a national ecosystem-based spatial planning process and plans, promoting the values of biodiversity and ecosystem services to sustain development 
Target 6. By 2020, at least 10% of Nigeria’s national territory is sustainably managed in conservation areas at varied levels of authority, with representation of all ecosystem types. </t>
        </r>
      </text>
    </comment>
    <comment ref="BD135" authorId="2">
      <text>
        <r>
          <rPr>
            <b/>
            <sz val="9"/>
            <color indexed="81"/>
            <rFont val="Tahoma"/>
            <family val="2"/>
          </rPr>
          <t>Billy Tsekos:</t>
        </r>
        <r>
          <rPr>
            <sz val="9"/>
            <color indexed="81"/>
            <rFont val="Tahoma"/>
            <family val="2"/>
          </rPr>
          <t xml:space="preserve">
2020</t>
        </r>
      </text>
    </comment>
    <comment ref="BI135" authorId="2">
      <text>
        <r>
          <rPr>
            <b/>
            <sz val="9"/>
            <color indexed="81"/>
            <rFont val="Tahoma"/>
            <family val="2"/>
          </rPr>
          <t>Billy Tsekos:</t>
        </r>
        <r>
          <rPr>
            <sz val="9"/>
            <color indexed="81"/>
            <rFont val="Tahoma"/>
            <family val="2"/>
          </rPr>
          <t xml:space="preserve">
</t>
        </r>
        <r>
          <rPr>
            <b/>
            <sz val="9"/>
            <color indexed="81"/>
            <rFont val="Tahoma"/>
            <family val="2"/>
          </rPr>
          <t>Target 4:</t>
        </r>
        <r>
          <rPr>
            <sz val="9"/>
            <color indexed="81"/>
            <rFont val="Tahoma"/>
            <family val="2"/>
          </rPr>
          <t xml:space="preserve">  By 2020, up to 15% of the areas of degraded ecosystems in Nigeria are under programmes for restoration and sustainable management.</t>
        </r>
      </text>
    </comment>
    <comment ref="BL135" authorId="2">
      <text>
        <r>
          <rPr>
            <b/>
            <sz val="9"/>
            <color indexed="81"/>
            <rFont val="Tahoma"/>
            <family val="2"/>
          </rPr>
          <t>Billy Tsekos:</t>
        </r>
        <r>
          <rPr>
            <sz val="9"/>
            <color indexed="81"/>
            <rFont val="Tahoma"/>
            <family val="2"/>
          </rPr>
          <t xml:space="preserve">
</t>
        </r>
        <r>
          <rPr>
            <b/>
            <sz val="9"/>
            <color indexed="81"/>
            <rFont val="Tahoma"/>
            <family val="2"/>
          </rPr>
          <t>NBSAP-P.44</t>
        </r>
        <r>
          <rPr>
            <sz val="9"/>
            <color indexed="81"/>
            <rFont val="Tahoma"/>
            <family val="2"/>
          </rPr>
          <t xml:space="preserve">: Develop a national strategy for the conservation of agricultural biodiversity and promotion of agroforestry.
</t>
        </r>
        <r>
          <rPr>
            <b/>
            <sz val="9"/>
            <color indexed="81"/>
            <rFont val="Tahoma"/>
            <family val="2"/>
          </rPr>
          <t xml:space="preserve">NBSAP-P.27: </t>
        </r>
        <r>
          <rPr>
            <sz val="9"/>
            <color indexed="81"/>
            <rFont val="Tahoma"/>
            <family val="2"/>
          </rPr>
          <t xml:space="preserve">Guinea Current Large Marine Ecosystem (GCLME): it's a project in collaboration with UNIDO for the implementation of pilot phase of mangrove reforestation and Nypa palm utilization method in the Delta area of Nigeria. It’s aimed at conserving biodiversity, improving the socio-economic life of the coastal communities. 
</t>
        </r>
      </text>
    </comment>
    <comment ref="BP135" authorId="2">
      <text>
        <r>
          <rPr>
            <b/>
            <sz val="9"/>
            <color indexed="81"/>
            <rFont val="Tahoma"/>
            <family val="2"/>
          </rPr>
          <t>Billy Tsekos:
NBSAP-p.43:</t>
        </r>
        <r>
          <rPr>
            <sz val="9"/>
            <color indexed="81"/>
            <rFont val="Tahoma"/>
            <family val="2"/>
          </rPr>
          <t xml:space="preserve">
 - Establish a National Forest and Vegetation Recovery Programme, including mangroves and other coastal areas. 
- Review and strengthen the National Forest Policy, to improve production
efficiency whilst promoting conservation of highbiodiversity habitats and restoration of degraded areas. 
- Establish a National Rivers and Wetlands Rehabilitation Programme, linked to reduction of
pollutants in Target 8. 
- Support the implementation of the Great Green Wall Sahara Programme. 
- Promote alternative livelihoods for communities in protected areas and ecosystem restoration areas.
</t>
        </r>
      </text>
    </comment>
    <comment ref="BX135" authorId="2">
      <text>
        <r>
          <rPr>
            <b/>
            <sz val="9"/>
            <color indexed="81"/>
            <rFont val="Tahoma"/>
            <family val="2"/>
          </rPr>
          <t>Billy Tsekos:</t>
        </r>
        <r>
          <rPr>
            <sz val="9"/>
            <color indexed="81"/>
            <rFont val="Tahoma"/>
            <family val="2"/>
          </rPr>
          <t xml:space="preserve">
</t>
        </r>
        <r>
          <rPr>
            <b/>
            <sz val="9"/>
            <color indexed="81"/>
            <rFont val="Tahoma"/>
            <family val="2"/>
          </rPr>
          <t>NBSAP-p.12:</t>
        </r>
        <r>
          <rPr>
            <sz val="9"/>
            <color indexed="81"/>
            <rFont val="Tahoma"/>
            <family val="2"/>
          </rPr>
          <t xml:space="preserve"> Causes and Consequences of Biodiversity Loss </t>
        </r>
      </text>
    </comment>
    <comment ref="CP135" authorId="2">
      <text>
        <r>
          <rPr>
            <b/>
            <sz val="9"/>
            <color indexed="81"/>
            <rFont val="Tahoma"/>
            <family val="2"/>
          </rPr>
          <t xml:space="preserve">Billy Tsekos:
NBSAP-p.53: 
Sectoral Actions: Mainstreaming Biodiversity into National Development, PovertyReduction and Climate Change Plans 
</t>
        </r>
        <r>
          <rPr>
            <sz val="9"/>
            <color indexed="81"/>
            <rFont val="Tahoma"/>
            <family val="2"/>
          </rPr>
          <t xml:space="preserve">
Enhance the understanding of key personnel of sectoral stakeholders with capacity to influence budgets to support projects that would improve biodiversity management and create climate resilient ecosystems to reduce poverty and climate change impacts; </t>
        </r>
      </text>
    </comment>
    <comment ref="CQ135" authorId="2">
      <text>
        <r>
          <rPr>
            <b/>
            <sz val="9"/>
            <color indexed="81"/>
            <rFont val="Tahoma"/>
            <family val="2"/>
          </rPr>
          <t>Billy Tsekos:</t>
        </r>
        <r>
          <rPr>
            <sz val="9"/>
            <color indexed="81"/>
            <rFont val="Tahoma"/>
            <family val="2"/>
          </rPr>
          <t xml:space="preserve">
</t>
        </r>
        <r>
          <rPr>
            <b/>
            <sz val="9"/>
            <color indexed="81"/>
            <rFont val="Tahoma"/>
            <family val="2"/>
          </rPr>
          <t>NBSAP-P.16:</t>
        </r>
        <r>
          <rPr>
            <sz val="9"/>
            <color indexed="81"/>
            <rFont val="Tahoma"/>
            <family val="2"/>
          </rPr>
          <t xml:space="preserve"> The National Adaptation Strategy and Plan of Action for Climate Change in Nigeria (NASPACCN 2011) revealed that climate change is already having significant impacts on Nigeria. According to the report, recent estimates suggest that in the absence of adaptation, climate change could result in the loss of between 2% and 11% of Nigeria’s GDP by 2020, rising to between 6%-30% by the year 2050. </t>
        </r>
      </text>
    </comment>
    <comment ref="CV135" authorId="2">
      <text>
        <r>
          <rPr>
            <b/>
            <sz val="9"/>
            <color indexed="81"/>
            <rFont val="Tahoma"/>
            <family val="2"/>
          </rPr>
          <t>Billy Tsekos:</t>
        </r>
        <r>
          <rPr>
            <sz val="9"/>
            <color indexed="81"/>
            <rFont val="Tahoma"/>
            <family val="2"/>
          </rPr>
          <t xml:space="preserve">
</t>
        </r>
        <r>
          <rPr>
            <b/>
            <sz val="9"/>
            <color indexed="81"/>
            <rFont val="Tahoma"/>
            <family val="2"/>
          </rPr>
          <t>NBSAP-23:</t>
        </r>
        <r>
          <rPr>
            <sz val="9"/>
            <color indexed="81"/>
            <rFont val="Tahoma"/>
            <family val="2"/>
          </rPr>
          <t xml:space="preserve"> Nigeria, Africa’s most populous country, reports losing 867, 000 Ha of range land and crop land to desertification each year</t>
        </r>
      </text>
    </comment>
    <comment ref="DG135" authorId="2">
      <text>
        <r>
          <rPr>
            <b/>
            <sz val="9"/>
            <color indexed="81"/>
            <rFont val="Tahoma"/>
            <family val="2"/>
          </rPr>
          <t>Billy Tsekos:</t>
        </r>
        <r>
          <rPr>
            <sz val="9"/>
            <color indexed="81"/>
            <rFont val="Tahoma"/>
            <family val="2"/>
          </rPr>
          <t xml:space="preserve">
reduction of 45% ( conditional)- not specific to any sector</t>
        </r>
      </text>
    </comment>
    <comment ref="DK135" authorId="2">
      <text>
        <r>
          <rPr>
            <sz val="9"/>
            <color indexed="81"/>
            <rFont val="Tahoma"/>
            <family val="2"/>
          </rPr>
          <t xml:space="preserve">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t>
        </r>
      </text>
    </comment>
    <comment ref="DL135" authorId="2">
      <text>
        <r>
          <rPr>
            <b/>
            <sz val="9"/>
            <color indexed="81"/>
            <rFont val="Tahoma"/>
            <family val="2"/>
          </rPr>
          <t>Billy Tsekos:</t>
        </r>
        <r>
          <rPr>
            <sz val="9"/>
            <color indexed="81"/>
            <rFont val="Tahoma"/>
            <family val="2"/>
          </rPr>
          <t xml:space="preserve">
Billy Tsekos:
1. Strengthen the implementation of the national Community-Based Forest Resources  Management Programme.
2. Support review and implementation of the National Forest Policy.
3. Develop and maintain a frequent forest inventory system to facilitate monitoring of forest  status; and initiate a research programme on a range of climate change-related topics, including long term impacts of climatic shifts on closed forests.
4. Provide extension services to CSOs, communities and the private sector to help establish and restore community and private natural forests, plantations and nurseries.
5. Improve management of forest reserves and enforce low impact logging practice</t>
        </r>
      </text>
    </comment>
    <comment ref="DM135" authorId="2">
      <text>
        <r>
          <rPr>
            <b/>
            <sz val="9"/>
            <color indexed="81"/>
            <rFont val="Tahoma"/>
            <family val="2"/>
          </rPr>
          <t>Billy Tsekos:</t>
        </r>
        <r>
          <rPr>
            <sz val="9"/>
            <color indexed="81"/>
            <rFont val="Tahoma"/>
            <family val="2"/>
          </rPr>
          <t xml:space="preserve">
263.0 MT CO2 emission (2020)</t>
        </r>
      </text>
    </comment>
    <comment ref="DP135" authorId="2">
      <text>
        <r>
          <rPr>
            <b/>
            <sz val="9"/>
            <color indexed="81"/>
            <rFont val="Tahoma"/>
            <family val="2"/>
          </rPr>
          <t>Billy Tsekos:</t>
        </r>
        <r>
          <rPr>
            <sz val="9"/>
            <color indexed="81"/>
            <rFont val="Tahoma"/>
            <family val="2"/>
          </rPr>
          <t xml:space="preserve">
Halting deforestation and the conservation of remaining natural forests, as well as reversing forest degradation is important. A failure to do so undermines the productive capacity of the land, as well as key ecosystems. The use of fuel wood and charcoal for fuel is also a major source of degradation of Nigeria’s forests. By some estimates, at the current rate of deforestation, there will be no significant forest remaining in a few years’ time, unless strong action is taken. It must, however, be recognized that charcoal provides essential fuel for many in Nigeria and its use cannot simply be reduced without providing alternatives.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r>
      </text>
    </comment>
    <comment ref="BA136" authorId="0">
      <text>
        <r>
          <rPr>
            <sz val="9"/>
            <color indexed="81"/>
            <rFont val="Tahoma"/>
            <family val="2"/>
          </rPr>
          <t>Objective 1: Conservation and management of natural habitats
Objective 3: Manage land clearance to minimise adverse impacts on biodiversity
Objective 5: Protection and conservation of caves and their fauna</t>
        </r>
      </text>
    </comment>
    <comment ref="ER136" authorId="0">
      <text>
        <r>
          <rPr>
            <sz val="9"/>
            <color indexed="81"/>
            <rFont val="Tahoma"/>
            <family val="2"/>
          </rPr>
          <t>NI</t>
        </r>
      </text>
    </comment>
    <comment ref="EH139" authorId="0">
      <text>
        <r>
          <rPr>
            <b/>
            <sz val="9"/>
            <color indexed="81"/>
            <rFont val="Tahoma"/>
            <family val="2"/>
          </rPr>
          <t xml:space="preserve">Committed, but finalizing ha target
</t>
        </r>
      </text>
    </comment>
    <comment ref="ER140" authorId="0">
      <text>
        <r>
          <rPr>
            <sz val="9"/>
            <color indexed="81"/>
            <rFont val="Tahoma"/>
            <family val="2"/>
          </rPr>
          <t>Target 6: By 2025 at least 50% of the degraded terrestrial habitats are restored and protected</t>
        </r>
      </text>
    </comment>
    <comment ref="ET140" authorId="0">
      <text>
        <r>
          <rPr>
            <sz val="9"/>
            <color indexed="81"/>
            <rFont val="Tahoma"/>
            <family val="2"/>
          </rPr>
          <t>5NR- p.43- By 2020 area under forest cover is increased by 4% and managed sustainably, ensuring conservation of biodiversity</t>
        </r>
      </text>
    </comment>
    <comment ref="BA141" authorId="5">
      <text>
        <r>
          <rPr>
            <sz val="11"/>
            <color theme="1"/>
            <rFont val="Calibri"/>
            <family val="2"/>
            <scheme val="minor"/>
          </rPr>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r>
      </text>
    </comment>
    <comment ref="BI141" authorId="5">
      <text>
        <r>
          <rPr>
            <sz val="11"/>
            <color theme="1"/>
            <rFont val="Calibri"/>
            <family val="2"/>
            <scheme val="minor"/>
          </rPr>
          <t>pag. 60 ----&gt; contribucion a las metas</t>
        </r>
      </text>
    </comment>
    <comment ref="BL141" authorId="5">
      <text>
        <r>
          <rPr>
            <sz val="11"/>
            <color theme="1"/>
            <rFont val="Calibri"/>
            <family val="2"/>
            <scheme val="minor"/>
          </rPr>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r>
      </text>
    </comment>
    <comment ref="BP141" authorId="5">
      <text>
        <r>
          <rPr>
            <sz val="11"/>
            <color theme="1"/>
            <rFont val="Calibri"/>
            <family val="2"/>
            <scheme val="minor"/>
          </rPr>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r>
      </text>
    </comment>
    <comment ref="BR141" authorId="3">
      <text>
        <r>
          <rPr>
            <b/>
            <sz val="10"/>
            <color indexed="81"/>
            <rFont val="Calibri"/>
          </rPr>
          <t>Microsoft Office User:</t>
        </r>
        <r>
          <rPr>
            <sz val="10"/>
            <color indexed="81"/>
            <rFont val="Calibri"/>
          </rPr>
          <t xml:space="preserve">
</t>
        </r>
      </text>
    </comment>
    <comment ref="BX141" authorId="5">
      <text>
        <r>
          <rPr>
            <sz val="11"/>
            <color theme="1"/>
            <rFont val="Calibri"/>
            <family val="2"/>
            <scheme val="minor"/>
          </rPr>
          <t>pag 29 and forth</t>
        </r>
      </text>
    </comment>
    <comment ref="CC141" authorId="5">
      <text>
        <r>
          <rPr>
            <sz val="11"/>
            <color theme="1"/>
            <rFont val="Calibri"/>
            <family val="2"/>
            <scheme val="minor"/>
          </rPr>
          <t>pag 29 and forth</t>
        </r>
      </text>
    </comment>
    <comment ref="CH141" authorId="5">
      <text>
        <r>
          <rPr>
            <sz val="11"/>
            <color theme="1"/>
            <rFont val="Calibri"/>
            <family val="2"/>
            <scheme val="minor"/>
          </rPr>
          <t>pag. 60 ---&gt; El Programa REDD+ Panamá, se encuentra en la fase preparatoria, cuyo objetivo es la elaboración de una estrategia nacional que responda a las siguientes cuestiones:
 ¿Cómo se puede integrar REDD+ en las estrategias de desarrollo nacional ya existentes?
 ¿Cómo pueden participar las comunidades dependientes de los bosques (indígenas,
afrodescendientes y campesinas), en la elaboración, ejecución, seguimiento y evaluación del
programa nacional REDD+?
 ¿Cómo se financiará el programa REDD+ y cómo se garantizará el reparto equitativo de los
beneficios entre todos aquellos que gestionan los bosques?
 ¿Cómo se puede monitorear los bosques y generar reportes sobre su estado y cambios
sufridos, incluyendo información de las emisiones y absorciones forestales de gases de efecto invernadero?</t>
        </r>
      </text>
    </comment>
    <comment ref="CK141" authorId="5">
      <text>
        <r>
          <rPr>
            <sz val="11"/>
            <color theme="1"/>
            <rFont val="Calibri"/>
            <family val="2"/>
            <scheme val="minor"/>
          </rPr>
          <t xml:space="preserve">pag 26----&gt;  Might be relevant ---&gt;Se calcula que un manglar saludable captura del aire cada año el equivalente a 6.3 toneladas de carbono por hectárea (Murray et al., 2011). El valor de una tonelada en el mercado de carbono, puede variar mucho según la fuente. El valor promedio en el mercado creado por el Protocolo de Kyoto, para los años 2005, 2006 y 2007, fue de US$12.77 por tonelada de carbono. Otra forma de valorar el carbono, se conoce como el costo social del carbono (SCC, por sus siglas en inglés) el cual calcula cuánto dinero se ahorraría la sociedad al evitar el daño causado por una tonelada adicional de carbono en la atmósfera. Según estudios que siguen este método, el valor oscila entre 55 y US$ 266 por tonelada de carbono (Johnson y Hope, 2012). Usando el valor menor de B/. 55.00, las 6.3 toneladas/ha equivaldrían a B/. 346.50/ha/año. 
</t>
        </r>
      </text>
    </comment>
    <comment ref="CP141" authorId="5">
      <text>
        <r>
          <rPr>
            <sz val="11"/>
            <color theme="1"/>
            <rFont val="Calibri"/>
            <family val="2"/>
            <scheme val="minor"/>
          </rPr>
          <t xml:space="preserve">Pag 31 ----&gt; Panamá es el 14° país más vulnerable en el mundo, con respecto a riesgos de desastres naturales múltiples y se espera enfrentar los severos impactos del cambio climático. Estos incluyen elevación del nivel del mar, también como cambio en la distribución de hábitat. Por lo tanto, el proceso de desarrollo de la NBSAP deberá mirar cercanamente el fortalecimiento de la resiliencia del clima y también como integrar la resiliencia del clima, dentro de esfuerzos de planificación espacial sistemática ya en marcha.
</t>
        </r>
      </text>
    </comment>
    <comment ref="CQ141" authorId="5">
      <text>
        <r>
          <rPr>
            <sz val="11"/>
            <color theme="1"/>
            <rFont val="Calibri"/>
            <family val="2"/>
            <scheme val="minor"/>
          </rPr>
          <t xml:space="preserve">pag 85 ---&gt; Panamá es socio del Plan de Acción Estratégico para Fortalecer la Conservación y el Uso de los Recursos Fitogenéticos Mesoamericanos para laAdaptación de la Agricultura al Cambio Climático (PAEM). ----&gt; latest report http://www.bioversityinternational.org/e-library/publications/detail/plan-de-accion-estrategicopara-fortalecer-la-conservacion-y-el-uso-de-los-recursos-fitogenetico/
E
</t>
        </r>
      </text>
    </comment>
    <comment ref="CV141" authorId="5">
      <text>
        <r>
          <rPr>
            <sz val="11"/>
            <color theme="1"/>
            <rFont val="Calibri"/>
            <family val="2"/>
            <scheme val="minor"/>
          </rPr>
          <t>pag. 30 ---&gt; La Estrategia Nacional para Combatir la Sequía y la Desertificación ha sido
preparada. En adición, un atlas nacional de las tierras secas y degradadas ha sido publicado y estádisponible en la dirección web:
http://www.anam.gob.pa/images/stories/documentos_pdf/ATLAS_DESDERTIFICACION.pdf).
El diagnóstico de Tierras Secas y Degradadas de Panamá y el apoyo del Plan de Acción Nacional de Combate a la Sequía y Desertificación en Panamá, reconocen la existencia de cuatro áreas críticas
que están sujetas a la sequía y degradación de suelos. Estas son: Cerro Punta, Comarca NgöbeBuglé, el bosque seco y la sabana central veragüense. En total, estas áreas cubren 20,787.57 Km2 y afectan a una población estimada de 516,434 personas (Censo de Población año 2000).</t>
        </r>
      </text>
    </comment>
    <comment ref="ER141" authorId="0">
      <text>
        <r>
          <rPr>
            <sz val="9"/>
            <color indexed="81"/>
            <rFont val="Tahoma"/>
            <family val="2"/>
          </rPr>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r>
      </text>
    </comment>
    <comment ref="AH142" authorId="1">
      <text>
        <r>
          <rPr>
            <b/>
            <sz val="9"/>
            <color indexed="81"/>
            <rFont val="Tahoma"/>
            <family val="2"/>
          </rPr>
          <t>billy.tsekos:</t>
        </r>
        <r>
          <rPr>
            <sz val="9"/>
            <color indexed="81"/>
            <rFont val="Tahoma"/>
            <family val="2"/>
          </rPr>
          <t xml:space="preserve">
</t>
        </r>
        <r>
          <rPr>
            <b/>
            <sz val="9"/>
            <color indexed="81"/>
            <rFont val="Tahoma"/>
            <family val="2"/>
          </rPr>
          <t xml:space="preserve">NR-P.24: </t>
        </r>
        <r>
          <rPr>
            <sz val="9"/>
            <color indexed="81"/>
            <rFont val="Tahoma"/>
            <family val="2"/>
          </rPr>
          <t xml:space="preserve">Forest Conversion and Degradation - PNG Forests are being degraded  at a rate of 1.41%/year. For the period from 1972 to 2002, 48.2% of forest change was due to logging (0.9 million ha deforested; 2.9 million ha degraded) and 45.6% (3.6 million ha) was cleared for subsistence agriculture. It is estimated that by 2021 most commercially accessible forests will be degraded . Most accessible forests are under logging concessions and the remaining accessible areas are subject to industrial agriculture or the impacts of a rapidly expanding human population. 
, 2
</t>
        </r>
      </text>
    </comment>
    <comment ref="BX142" authorId="3">
      <text>
        <r>
          <rPr>
            <sz val="10"/>
            <color indexed="81"/>
            <rFont val="Calibri"/>
          </rPr>
          <t xml:space="preserve">p 11
Sherman and Bryan, (2010) conducted a bioregional analysis of the distribution of rainforest cover, deforestation and degradation in Papua New Guinea using the biogeographical zones through the juxtaposition of two surfaces; one identifying 11 biogeographical zones and the other identifying 11 climatic domains. The combination of both datasets allowed assessment of long-term forest change in 81 separate regions or ‘biomes’ of the country.
</t>
        </r>
      </text>
    </comment>
    <comment ref="DK142" authorId="1">
      <text>
        <r>
          <rPr>
            <b/>
            <sz val="9"/>
            <color indexed="81"/>
            <rFont val="Tahoma"/>
            <family val="2"/>
          </rPr>
          <t>billy.tsekos:</t>
        </r>
        <r>
          <rPr>
            <sz val="9"/>
            <color indexed="81"/>
            <rFont val="Tahoma"/>
            <family val="2"/>
          </rPr>
          <t xml:space="preserve">
</t>
        </r>
        <r>
          <rPr>
            <b/>
            <sz val="9"/>
            <color indexed="81"/>
            <rFont val="Tahoma"/>
            <family val="2"/>
          </rPr>
          <t>Forestry:</t>
        </r>
        <r>
          <rPr>
            <sz val="9"/>
            <color indexed="81"/>
            <rFont val="Tahoma"/>
            <family val="2"/>
          </rPr>
          <t xml:space="preserve"> PNG has extensive forest areas which present opportunities for mitigation. In the past
rapid exploitation of these forests by uncontrolled logging and land use conversion to agriculture has produced increased FOLU emissions. PNG has been a global leader in the promotion of a mechanism to provide incentives to developing countries for the reduction of emissions from deforestation and forest degradation through the UNFCCC, and has been building national and regional capacities to implement REDD+ activities since 2009. PNG is assessing its drivers of deforestation and will develop a national REDD+ strategy over the next two years that will including specific policies and measures to implement REDD+. The policies and measures will aim to reduced emission from deforestation and forest degradation, as well as support sustainable management, conservation and enhancement of forest carbon stocks, thereby leading to enhanced removals from the forestry sector.. A key current shortcoming is the lack of data on forestry emissions and removals, which is currently being addressed through national assessments of land use changeand the implementation of a national forest inventory. Data for forestry emissions will therefore be forthcoming in the next few years, which will allow a more accurate estimation of the potential emissions reductions and enhanced removals that PNG can achieve in its forestry sector through REDD+ implementation.
</t>
        </r>
      </text>
    </comment>
    <comment ref="DM142" authorId="1">
      <text>
        <r>
          <rPr>
            <b/>
            <sz val="9"/>
            <color indexed="81"/>
            <rFont val="Tahoma"/>
            <family val="2"/>
          </rPr>
          <t>billy.tsekos:</t>
        </r>
        <r>
          <rPr>
            <sz val="9"/>
            <color indexed="81"/>
            <rFont val="Tahoma"/>
            <family val="2"/>
          </rPr>
          <t xml:space="preserve">
2010 CO2eq emissions were estimated from earlier reports including the draft SNC to be around 5 Mt tonnes (from a primary energy supply of 1.8MTOE) which would give a per capita emission level of around 0.7 tonnes compared to the world average of just under 6 tonnes. It is likely, however, that the previous PNG figures do not include emissions from the indigenous oil and gas production sector. The growth of this sector in recent years has produced additional emissions which are likely to be around 5 Mt per annum (0.8 Mt Oil Search, 3.2 Mt Exxon Mobil, and 1 Mt other, including mining) as of 2014. The total would give around 10 Mt CO2eq. This would give per capita emissions (2014) of around 1.4 tonnes per person per year which is still low by world standards. As noted there is considerable uncertainty in these estimates as the figures given in the draft SNC are under revision for the final document.
In addition, the draft SNC report reports the PNG forestry CO2 emissions (FOLU) as 413 Gg for 1994 and 2199 Gg for 2010 or around 2 Mt for 2010.</t>
        </r>
      </text>
    </comment>
    <comment ref="Z144" authorId="0">
      <text>
        <r>
          <rPr>
            <b/>
            <sz val="9"/>
            <color indexed="81"/>
            <rFont val="Tahoma"/>
            <family val="2"/>
          </rPr>
          <t>p21</t>
        </r>
      </text>
    </comment>
    <comment ref="AH144" authorId="0">
      <text>
        <r>
          <rPr>
            <b/>
            <sz val="9"/>
            <color indexed="81"/>
            <rFont val="Tahoma"/>
            <family val="2"/>
          </rPr>
          <t xml:space="preserve">Promedio anual de la deforestación por departamento, años 1990-2000.
Fuentes: INRENA 2000, INRENA-PROCLIM 2005.
Tasa de deforestacion en tipos de bosques
</t>
        </r>
      </text>
    </comment>
    <comment ref="AO144" authorId="5">
      <text>
        <r>
          <rPr>
            <sz val="11"/>
            <color theme="1"/>
            <rFont val="Calibri"/>
            <family val="2"/>
            <scheme val="minor"/>
          </rPr>
          <t>p. 40</t>
        </r>
      </text>
    </comment>
    <comment ref="AV144" authorId="5">
      <text>
        <r>
          <rPr>
            <sz val="11"/>
            <color theme="1"/>
            <rFont val="Calibri"/>
            <family val="2"/>
            <scheme val="minor"/>
          </rPr>
          <t xml:space="preserve">
P, 41 - 46 - Mahogany and Cedar tree forests degradation ----&gt; confronts productivity with deflorastation
P. 40 ----&gt; Deforestación en bosques secos:
Con el empleo de imágenes satelitales se evaluó la deforestación en la región Piura y luego fue corroborada por observaciones de campo del equipo técnico multidisciplinario de la comisión Zonificación Ecológica Económica – Ordenamiento Territorial. Se realizaron clasificaciones supervisadas de los años 1990, 2000 y 2010, obteniendo los siguientes valores:
Deforestación año 1990= 184,830.26 ha
Deforestación año 2000= 308,330.38 ha
Deforestación año 2010= 601,275.23 ha
Tasa de deforestación anual 20,822.24 ha/año. (Gore Piura, 2013)
</t>
        </r>
      </text>
    </comment>
    <comment ref="BA144" authorId="0">
      <text>
        <r>
          <rPr>
            <sz val="9"/>
            <color indexed="81"/>
            <rFont val="Tahoma"/>
            <family val="2"/>
          </rPr>
          <t>Meta 7 Para el 2021, se ha reducido en 5% la tasa de degradación de los ecosistemas, con énfasis en ecosistemas forestales y frágiles.</t>
        </r>
      </text>
    </comment>
    <comment ref="BX144" authorId="0">
      <text>
        <r>
          <rPr>
            <b/>
            <sz val="9"/>
            <color indexed="81"/>
            <rFont val="Tahoma"/>
            <family val="2"/>
          </rPr>
          <t>p32
descripcion de amenazas por ecosistema</t>
        </r>
      </text>
    </comment>
    <comment ref="CH144" authorId="5">
      <text>
        <r>
          <rPr>
            <sz val="11"/>
            <color theme="1"/>
            <rFont val="Calibri"/>
            <family val="2"/>
            <scheme val="minor"/>
          </rPr>
          <t xml:space="preserve">ESTUDIO DE CASO 
Proyectos REDD+ en Areas Naturales Protegidas
Elaborado por SERNANP
p. 159-160 en QUINTO INFORME NACIONAL
ANTE EL CONVENIO SOBRE LA
DIVERSIDAD BIOLÓGICA: PERÚ
(2010-2013)
</t>
        </r>
      </text>
    </comment>
    <comment ref="CQ144" authorId="5">
      <text>
        <r>
          <rPr>
            <sz val="11"/>
            <color theme="1"/>
            <rFont val="Calibri"/>
            <family val="2"/>
            <scheme val="minor"/>
          </rPr>
          <t xml:space="preserve">El cambio climático y los eventos El Niño --&gt; p.85
Posibles cambios futuros de la diversidad biológica marina en el Perú y sus potenciales impactos --&gt; p. 88 - 90
Really focused on the impacts to biodiversity, 
</t>
        </r>
      </text>
    </comment>
    <comment ref="CV144" authorId="5">
      <text>
        <r>
          <rPr>
            <sz val="11"/>
            <color theme="1"/>
            <rFont val="Calibri"/>
            <family val="2"/>
            <scheme val="minor"/>
          </rPr>
          <t>''...el Programa
de Acción Nacional para la Lucha contra la Desertificación - PAN PERU
que está por ser actualizado, y coincide en alcances con el Objetivo
Estratégico 1 de la EPANDB''</t>
        </r>
      </text>
    </comment>
    <comment ref="DA144" authorId="5">
      <text>
        <r>
          <rPr>
            <sz val="11"/>
            <color theme="1"/>
            <rFont val="Calibri"/>
            <family val="2"/>
            <scheme val="minor"/>
          </rPr>
          <t>p. 4 of the CBD Strategy and Action Plan - Peru (Spanish version)</t>
        </r>
      </text>
    </comment>
    <comment ref="DB144" authorId="5">
      <text>
        <r>
          <rPr>
            <sz val="11"/>
            <color theme="1"/>
            <rFont val="Calibri"/>
            <family val="2"/>
            <scheme val="minor"/>
          </rPr>
          <t>P. 4 of the CBD Strategy and Action Plan - Peru (Spanish version)</t>
        </r>
      </text>
    </comment>
    <comment ref="Z145"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Table 1. Land classification, 2005-2012</t>
        </r>
      </text>
    </comment>
    <comment ref="AH145"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Table 1. Land classification, 2005-2012</t>
        </r>
      </text>
    </comment>
    <comment ref="BA145" authorId="1">
      <text>
        <r>
          <rPr>
            <b/>
            <sz val="9"/>
            <color indexed="81"/>
            <rFont val="Tahoma"/>
            <family val="2"/>
          </rPr>
          <t xml:space="preserve">billy.tsekos:
</t>
        </r>
        <r>
          <rPr>
            <sz val="9"/>
            <color indexed="81"/>
            <rFont val="Tahoma"/>
            <family val="2"/>
          </rPr>
          <t xml:space="preserve">PHILIPPINE BIODIVERSITY STRATEGY AND ACTION PLAN 2014-2025(Draft as of April 2014)
</t>
        </r>
        <r>
          <rPr>
            <b/>
            <sz val="9"/>
            <color indexed="81"/>
            <rFont val="Tahoma"/>
            <family val="2"/>
          </rPr>
          <t xml:space="preserve">NR-P.92: </t>
        </r>
        <r>
          <rPr>
            <sz val="9"/>
            <color indexed="81"/>
            <rFont val="Tahoma"/>
            <family val="2"/>
          </rPr>
          <t>Protect and conserve existing natural habitats and pursue restoration of the functionality of degraded habitats.</t>
        </r>
      </text>
    </comment>
    <comment ref="BD145" authorId="1">
      <text>
        <r>
          <rPr>
            <b/>
            <sz val="9"/>
            <color indexed="81"/>
            <rFont val="Tahoma"/>
            <family val="2"/>
          </rPr>
          <t>billy.tsekos:</t>
        </r>
        <r>
          <rPr>
            <sz val="9"/>
            <color indexed="81"/>
            <rFont val="Tahoma"/>
            <family val="2"/>
          </rPr>
          <t xml:space="preserve">
TBD2020</t>
        </r>
      </text>
    </comment>
    <comment ref="BE145" authorId="3">
      <text>
        <r>
          <rPr>
            <sz val="10"/>
            <color indexed="81"/>
            <rFont val="Calibri"/>
          </rPr>
          <t xml:space="preserve">2010
</t>
        </r>
      </text>
    </comment>
    <comment ref="BH145" authorId="1">
      <text>
        <r>
          <rPr>
            <b/>
            <sz val="9"/>
            <color indexed="81"/>
            <rFont val="Tahoma"/>
            <family val="2"/>
          </rPr>
          <t>billy.tsekos:</t>
        </r>
        <r>
          <rPr>
            <sz val="9"/>
            <color indexed="81"/>
            <rFont val="Tahoma"/>
            <family val="2"/>
          </rPr>
          <t xml:space="preserve">
</t>
        </r>
        <r>
          <rPr>
            <b/>
            <sz val="9"/>
            <color indexed="81"/>
            <rFont val="Tahoma"/>
            <family val="2"/>
          </rPr>
          <t>NR-P.23:</t>
        </r>
        <r>
          <rPr>
            <sz val="9"/>
            <color indexed="81"/>
            <rFont val="Tahoma"/>
            <family val="2"/>
          </rPr>
          <t xml:space="preserve"> In urban ecosystems, increasing population and development of urban areas have contributed to fragmentation of previously connected habitats.
</t>
        </r>
        <r>
          <rPr>
            <b/>
            <sz val="9"/>
            <color indexed="81"/>
            <rFont val="Tahoma"/>
            <family val="2"/>
          </rPr>
          <t>NR-P.36:</t>
        </r>
        <r>
          <rPr>
            <sz val="9"/>
            <color indexed="81"/>
            <rFont val="Tahoma"/>
            <family val="2"/>
          </rPr>
          <t xml:space="preserve"> to better mainstream the concepts of biodiversity conservation at the local level, the DENR-BMB has partnered with the HLURB to prepare guidelines to integrate biodiversity into CLUPs with assistance from the GEFUNDP Project on Partnerships for Biodiversity Conservation: Mainstreaming in Local Agricultural Landscapes or the Biodiversity Partnerships Project (BPP). This Project runs from 2010 to 2016 and addresses fragmentation of PAs and KBAs by “making certain that activities in the production landscape conserve species assemblages and maintain ecosystem functions.</t>
        </r>
      </text>
    </comment>
    <comment ref="BI145" authorId="1">
      <text>
        <r>
          <rPr>
            <b/>
            <sz val="9"/>
            <color indexed="81"/>
            <rFont val="Tahoma"/>
            <family val="2"/>
          </rPr>
          <t xml:space="preserve">billy.tsekos:
</t>
        </r>
        <r>
          <rPr>
            <sz val="9"/>
            <color indexed="81"/>
            <rFont val="Tahoma"/>
            <family val="2"/>
          </rPr>
          <t xml:space="preserve">
</t>
        </r>
        <r>
          <rPr>
            <b/>
            <sz val="9"/>
            <color indexed="81"/>
            <rFont val="Tahoma"/>
            <family val="2"/>
          </rPr>
          <t>NR-P.79:</t>
        </r>
        <r>
          <rPr>
            <sz val="9"/>
            <color indexed="81"/>
            <rFont val="Tahoma"/>
            <family val="2"/>
          </rPr>
          <t xml:space="preserve">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r>
      </text>
    </comment>
    <comment ref="BL145"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Figure 3. Strategic framework for ENR conservation, protection and rehabilitation 2011-2016</t>
        </r>
      </text>
    </comment>
    <comment ref="BP145" authorId="1">
      <text>
        <r>
          <rPr>
            <b/>
            <sz val="9"/>
            <color indexed="81"/>
            <rFont val="Tahoma"/>
            <family val="2"/>
          </rPr>
          <t>billy.tsekos:</t>
        </r>
        <r>
          <rPr>
            <sz val="9"/>
            <color indexed="81"/>
            <rFont val="Tahoma"/>
            <family val="2"/>
          </rPr>
          <t xml:space="preserve">
Rehabilitate identified priority areas (criteria to be developed) i.e. degraded
riparian forests, peatlands, beach, mangrove, intertidal areas, seagrass,
soft-bottom, coral reef habitats.
</t>
        </r>
      </text>
    </comment>
    <comment ref="BT145" authorId="1">
      <text>
        <r>
          <rPr>
            <b/>
            <sz val="9"/>
            <color indexed="81"/>
            <rFont val="Tahoma"/>
            <family val="2"/>
          </rPr>
          <t>billy.tsekos:</t>
        </r>
        <r>
          <rPr>
            <sz val="9"/>
            <color indexed="81"/>
            <rFont val="Tahoma"/>
            <family val="2"/>
          </rPr>
          <t xml:space="preserve">
TBD</t>
        </r>
      </text>
    </comment>
    <comment ref="BX145" authorId="1">
      <text>
        <r>
          <rPr>
            <b/>
            <sz val="9"/>
            <color indexed="81"/>
            <rFont val="Tahoma"/>
            <family val="2"/>
          </rPr>
          <t>billy.tsekos:</t>
        </r>
        <r>
          <rPr>
            <sz val="9"/>
            <color indexed="81"/>
            <rFont val="Tahoma"/>
            <family val="2"/>
          </rPr>
          <t xml:space="preserve">
</t>
        </r>
        <r>
          <rPr>
            <b/>
            <sz val="9"/>
            <color indexed="81"/>
            <rFont val="Tahoma"/>
            <family val="2"/>
          </rPr>
          <t xml:space="preserve">NR-P.22: </t>
        </r>
        <r>
          <rPr>
            <sz val="9"/>
            <color indexed="81"/>
            <rFont val="Tahoma"/>
            <family val="2"/>
          </rPr>
          <t xml:space="preserve">Five major direct drivers of biodiversity loss were identified: 
1) habitat loss and degradation; 
2)overexploitation and unsustainable use; 
3) invasive alien species; 
4) pollution and 
5) climate change. 
</t>
        </r>
        <r>
          <rPr>
            <b/>
            <sz val="9"/>
            <color indexed="81"/>
            <rFont val="Tahoma"/>
            <family val="2"/>
          </rPr>
          <t xml:space="preserve">
NR-P.23: </t>
        </r>
        <r>
          <rPr>
            <sz val="9"/>
            <color indexed="81"/>
            <rFont val="Tahoma"/>
            <family val="2"/>
          </rPr>
          <t>Habitat loss and degradation cut across ecosystems and impact on and influence each other due to their interrelatedness and interconnectedness. Overexploitation and unsustainable use, invasive alien species, pollution and climate change all contribute to habitat loss and degradation. In forest and mountain ecosystems, habitat loss and degradation is attributed to deforestation due to forest-related practices (e.g. legal and illegal logging, unsustainable agricultural practices such as slash and burn or “kaingin”, forest fire), infrastructure developments like mines and roads and land conversion for human settlements, including informal settlements. In agricultural ecosystems, it is attributed to land use change such as the conversion of agricultural lands to residential; slash and burn or “kaingin”; pollution due to the use of chemicals; introduction of monocultures and agricultural practices incompatible with the conservation of agricultural biodiversity</t>
        </r>
      </text>
    </comment>
    <comment ref="CH145" authorId="1">
      <text>
        <r>
          <rPr>
            <b/>
            <sz val="9"/>
            <color indexed="81"/>
            <rFont val="Tahoma"/>
            <family val="2"/>
          </rPr>
          <t>billy.tsekos:</t>
        </r>
        <r>
          <rPr>
            <sz val="9"/>
            <color indexed="81"/>
            <rFont val="Tahoma"/>
            <family val="2"/>
          </rPr>
          <t xml:space="preserve">
reference to REDD+ is made under  BIODIVERSITY-RELATED PROGRAMS/PROJECTS/ACTIVITIES</t>
        </r>
      </text>
    </comment>
    <comment ref="CP145" authorId="1">
      <text>
        <r>
          <rPr>
            <b/>
            <sz val="9"/>
            <color indexed="81"/>
            <rFont val="Tahoma"/>
            <family val="2"/>
          </rPr>
          <t>billy.tsekos:</t>
        </r>
        <r>
          <rPr>
            <sz val="9"/>
            <color indexed="81"/>
            <rFont val="Tahoma"/>
            <family val="2"/>
          </rPr>
          <t xml:space="preserve">
</t>
        </r>
        <r>
          <rPr>
            <b/>
            <sz val="9"/>
            <color indexed="81"/>
            <rFont val="Tahoma"/>
            <family val="2"/>
          </rPr>
          <t>NR-P.37:</t>
        </r>
        <r>
          <rPr>
            <sz val="9"/>
            <color indexed="81"/>
            <rFont val="Tahoma"/>
            <family val="2"/>
          </rPr>
          <t xml:space="preserve"> The National Framework Strategy on Climate Change 2010-2022 (NFSCC) and National Climate Change Action Plan 2011-2028 (NCCAP)  sets out
the national goal for climate change: to build the adaptive capacity of communities and increase the resilience of natural ecosystems to climate change and optimize mitigation opportunities towards sustainable development</t>
        </r>
      </text>
    </comment>
    <comment ref="CQ145" authorId="1">
      <text>
        <r>
          <rPr>
            <b/>
            <sz val="9"/>
            <color indexed="81"/>
            <rFont val="Tahoma"/>
            <family val="2"/>
          </rPr>
          <t>billy.tsekos:</t>
        </r>
        <r>
          <rPr>
            <sz val="9"/>
            <color indexed="81"/>
            <rFont val="Tahoma"/>
            <family val="2"/>
          </rPr>
          <t xml:space="preserve">
</t>
        </r>
        <r>
          <rPr>
            <b/>
            <sz val="9"/>
            <color indexed="81"/>
            <rFont val="Tahoma"/>
            <family val="2"/>
          </rPr>
          <t>NR-P.7:</t>
        </r>
        <r>
          <rPr>
            <sz val="9"/>
            <color indexed="81"/>
            <rFont val="Tahoma"/>
            <family val="2"/>
          </rPr>
          <t xml:space="preserve"> Operational challenges include inadequate tools and facilities to support ENR management, unavailability of timely, updated and integrated database and inadequate and non-sustained financing for ENR, climate change adaptation/ mitigation and disaster risk reduction and management. Based on the assessment, the strategic framework for the ENR sector has been updated to ensure sustainability and climate resilience (Fig. 4)
</t>
        </r>
        <r>
          <rPr>
            <b/>
            <sz val="9"/>
            <color indexed="81"/>
            <rFont val="Tahoma"/>
            <family val="2"/>
          </rPr>
          <t xml:space="preserve">NR-P.36: </t>
        </r>
        <r>
          <rPr>
            <sz val="9"/>
            <color indexed="81"/>
            <rFont val="Tahoma"/>
            <family val="2"/>
          </rPr>
          <t xml:space="preserve">Philippine Development Plan (PDP) 2011-2016 :
Prepare Protected Area Management Plans incorporating vulnerability and adaptability of sectors
to disaster risk reduction and climate change.
</t>
        </r>
        <r>
          <rPr>
            <b/>
            <sz val="9"/>
            <color indexed="81"/>
            <rFont val="Tahoma"/>
            <family val="2"/>
          </rPr>
          <t>NR-P.55:</t>
        </r>
        <r>
          <rPr>
            <sz val="9"/>
            <color indexed="81"/>
            <rFont val="Tahoma"/>
            <family val="2"/>
          </rPr>
          <t xml:space="preserve"> Vulnerable ecosystems</t>
        </r>
      </text>
    </comment>
    <comment ref="CV145" authorId="1">
      <text>
        <r>
          <rPr>
            <b/>
            <sz val="9"/>
            <color indexed="81"/>
            <rFont val="Tahoma"/>
            <family val="2"/>
          </rPr>
          <t>billy.tsekos:</t>
        </r>
        <r>
          <rPr>
            <sz val="9"/>
            <color indexed="81"/>
            <rFont val="Tahoma"/>
            <family val="2"/>
          </rPr>
          <t xml:space="preserve">
</t>
        </r>
        <r>
          <rPr>
            <b/>
            <sz val="9"/>
            <color indexed="81"/>
            <rFont val="Tahoma"/>
            <family val="2"/>
          </rPr>
          <t>NR-P.42:</t>
        </r>
        <r>
          <rPr>
            <sz val="9"/>
            <color indexed="81"/>
            <rFont val="Tahoma"/>
            <family val="2"/>
          </rPr>
          <t xml:space="preserve"> Updated National Action Plan (NAP) to Combat Desertification, Land Degradation and Drought 2010-2020</t>
        </r>
      </text>
    </comment>
    <comment ref="CW145"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In terms of PA coverage, 5.45 million hectares or 14.2% of the total area of the country are PAs, 4.07 million hectares or 13.57% of which are terrestrial areas, while 1.38 million hectares or 0.63% are marine areas. These include initial components which have not been proclaimed under the National Integrated Protected Areas System (NIPAS) as well as PAs with both land and marine components .About 26% of forest covers are within PAs.
 The number and area coverage of PAs under NIPAS have increased to 240 with a total area of 5.45 million hectares or 14.20% of total area in 2013(Table 2) from 234 with a total area of 5.23 million hectares (or 13.54% of total area) in 2008.</t>
        </r>
      </text>
    </comment>
    <comment ref="DL145" authorId="1">
      <text>
        <r>
          <rPr>
            <b/>
            <sz val="9"/>
            <color indexed="81"/>
            <rFont val="Tahoma"/>
            <family val="2"/>
          </rPr>
          <t>billy.tsekos:</t>
        </r>
        <r>
          <rPr>
            <sz val="9"/>
            <color indexed="81"/>
            <rFont val="Tahoma"/>
            <family val="2"/>
          </rPr>
          <t xml:space="preserve">
Recognizing the vulnerability of the country to the impacts of climate change, the State prioritizes adaptation and adopts it as the anchor strategy as espoused by the National Framework Strategy on Climate Change and subsequently elaborated in its National Climate Change Action Plan. 
The following priority measures, among others, would need such identified implementation support:
</t>
        </r>
        <r>
          <rPr>
            <b/>
            <sz val="9"/>
            <color indexed="81"/>
            <rFont val="Tahoma"/>
            <family val="2"/>
          </rPr>
          <t>1.</t>
        </r>
        <r>
          <rPr>
            <sz val="9"/>
            <color indexed="81"/>
            <rFont val="Tahoma"/>
            <family val="2"/>
          </rPr>
          <t xml:space="preserve"> Institutional and system strengthening for downscaling climate change models, climate scenario-building, climate monitoring and observation;
</t>
        </r>
        <r>
          <rPr>
            <b/>
            <sz val="9"/>
            <color indexed="81"/>
            <rFont val="Tahoma"/>
            <family val="2"/>
          </rPr>
          <t>2.</t>
        </r>
        <r>
          <rPr>
            <sz val="9"/>
            <color indexed="81"/>
            <rFont val="Tahoma"/>
            <family val="2"/>
          </rPr>
          <t xml:space="preserve"> Roll-out of science-based climate/disaster risk and vulnerability assessment process as the basis for mainstreaming climate and disaster risks reduction in development plans, programs and projects;
</t>
        </r>
        <r>
          <rPr>
            <b/>
            <sz val="9"/>
            <color indexed="81"/>
            <rFont val="Tahoma"/>
            <family val="2"/>
          </rPr>
          <t>3.</t>
        </r>
        <r>
          <rPr>
            <sz val="9"/>
            <color indexed="81"/>
            <rFont val="Tahoma"/>
            <family val="2"/>
          </rPr>
          <t xml:space="preserve"> Development of climate and disaster-resilient ecosystem(s);
</t>
        </r>
        <r>
          <rPr>
            <b/>
            <sz val="9"/>
            <color indexed="81"/>
            <rFont val="Tahoma"/>
            <family val="2"/>
          </rPr>
          <t>4</t>
        </r>
        <r>
          <rPr>
            <sz val="9"/>
            <color indexed="81"/>
            <rFont val="Tahoma"/>
            <family val="2"/>
          </rPr>
          <t xml:space="preserve">. Enhancement of climate and disaster-resilience of key sectors – agriculture, water and health;
</t>
        </r>
        <r>
          <rPr>
            <b/>
            <sz val="9"/>
            <color indexed="81"/>
            <rFont val="Tahoma"/>
            <family val="2"/>
          </rPr>
          <t>5.</t>
        </r>
        <r>
          <rPr>
            <sz val="9"/>
            <color indexed="81"/>
            <rFont val="Tahoma"/>
            <family val="2"/>
          </rPr>
          <t xml:space="preserve"> Systematic transition to a climate and disaster-resilient social and economic growth; and
</t>
        </r>
        <r>
          <rPr>
            <b/>
            <sz val="9"/>
            <color indexed="81"/>
            <rFont val="Tahoma"/>
            <family val="2"/>
          </rPr>
          <t>6.</t>
        </r>
        <r>
          <rPr>
            <sz val="9"/>
            <color indexed="81"/>
            <rFont val="Tahoma"/>
            <family val="2"/>
          </rPr>
          <t xml:space="preserve"> Research and development on climate change, extremes and impacts for improved risk assessment and management.</t>
        </r>
      </text>
    </comment>
    <comment ref="Z147" authorId="6">
      <text>
        <r>
          <rPr>
            <b/>
            <sz val="9"/>
            <color indexed="81"/>
            <rFont val="Tahoma"/>
            <family val="2"/>
          </rPr>
          <t>Daniel:</t>
        </r>
        <r>
          <rPr>
            <sz val="9"/>
            <color indexed="81"/>
            <rFont val="Tahoma"/>
            <family val="2"/>
          </rPr>
          <t xml:space="preserve">
NR-P. 78 -80</t>
        </r>
      </text>
    </comment>
    <comment ref="AV147" authorId="6">
      <text>
        <r>
          <rPr>
            <b/>
            <sz val="9"/>
            <color indexed="81"/>
            <rFont val="Tahoma"/>
            <family val="2"/>
          </rPr>
          <t>Daniel:</t>
        </r>
        <r>
          <rPr>
            <sz val="9"/>
            <color indexed="81"/>
            <rFont val="Tahoma"/>
            <family val="2"/>
          </rPr>
          <t xml:space="preserve">
NR.P. 9 to 12</t>
        </r>
      </text>
    </comment>
    <comment ref="BA147" authorId="6">
      <text>
        <r>
          <rPr>
            <b/>
            <sz val="9"/>
            <color indexed="81"/>
            <rFont val="Tahoma"/>
            <family val="2"/>
          </rPr>
          <t>Daniel: NR-P.2</t>
        </r>
        <r>
          <rPr>
            <sz val="9"/>
            <color indexed="81"/>
            <rFont val="Tahoma"/>
            <family val="2"/>
          </rPr>
          <t xml:space="preserve">
Meta 5: Até 2020, a taxa de perda de todos os habitats naturais, incluindo florestas, é pelo menos reduzida a metade e onde exequível reduzida para próximo de zero, e a degradação e fragmentação é significativamente reduzida.</t>
        </r>
      </text>
    </comment>
    <comment ref="BD147" authorId="6">
      <text>
        <r>
          <rPr>
            <b/>
            <sz val="9"/>
            <color indexed="81"/>
            <rFont val="Tahoma"/>
            <family val="2"/>
          </rPr>
          <t>Daniel:</t>
        </r>
        <r>
          <rPr>
            <sz val="9"/>
            <color indexed="81"/>
            <rFont val="Tahoma"/>
            <family val="2"/>
          </rPr>
          <t xml:space="preserve">
2020
</t>
        </r>
      </text>
    </comment>
    <comment ref="BH147" authorId="6">
      <text>
        <r>
          <rPr>
            <b/>
            <sz val="9"/>
            <color indexed="81"/>
            <rFont val="Tahoma"/>
            <family val="2"/>
          </rPr>
          <t>Daniel:</t>
        </r>
        <r>
          <rPr>
            <sz val="9"/>
            <color indexed="81"/>
            <rFont val="Tahoma"/>
            <family val="2"/>
          </rPr>
          <t xml:space="preserve">
NR. P 42 ---&gt; O PROTAlentejo estabelece a ERPVA, que foi delineada com vista a contrariar e prevenir os efeitos da fragmentação de habitats, que tem impactes negativos nos ciclos de vida e na ecologia das espécies com estatuto de proteção legal ou que asseguram sistemas de suporte de vida, e reforça a importância da valorização e proteção dos recursos naturais como suporte do desenvolvimento sustentável, garantindo ainda a preservação da paisagem e a identidade regional. Assim, para além da integração das AC na ERPVA, no âmbito da RFCN, propõe-se à escala regional, com a necessária transposição para a escala local nos PMOT, o desenvolvimento de um sistema territorial de estrutura ecológica que estabeleça ou aumente a conetividade e promova a qualidade das paisagens do ponto de vista da biodiversidade, ao aumentar a resiliência dos habitats/ecossistemas e ao facilitar a adaptação das populações, criando sistemas de suporte de vida mais estáveis e perenes. A estrutura ecológica procura contribuir ainda para o cumprimento das metas de diminuição da perda de biodiversidade e do aumento da resiliência dos sistemas biológicos às alterações climáticas.</t>
        </r>
      </text>
    </comment>
    <comment ref="BL147" authorId="2">
      <text>
        <r>
          <rPr>
            <b/>
            <sz val="9"/>
            <color indexed="81"/>
            <rFont val="Tahoma"/>
            <family val="2"/>
          </rPr>
          <t>Billy Tsekos:</t>
        </r>
        <r>
          <rPr>
            <sz val="9"/>
            <color indexed="81"/>
            <rFont val="Tahoma"/>
            <family val="2"/>
          </rPr>
          <t xml:space="preserve">
</t>
        </r>
      </text>
    </comment>
    <comment ref="BP147" authorId="6">
      <text>
        <r>
          <rPr>
            <b/>
            <sz val="9"/>
            <color indexed="81"/>
            <rFont val="Tahoma"/>
            <family val="2"/>
          </rPr>
          <t>Daniel:</t>
        </r>
        <r>
          <rPr>
            <sz val="9"/>
            <color indexed="81"/>
            <rFont val="Tahoma"/>
            <family val="2"/>
          </rPr>
          <t xml:space="preserve">
</t>
        </r>
      </text>
    </comment>
    <comment ref="ER148" authorId="0">
      <text>
        <r>
          <rPr>
            <sz val="9"/>
            <color indexed="81"/>
            <rFont val="Tahoma"/>
            <family val="2"/>
          </rPr>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r>
      </text>
    </comment>
    <comment ref="ET148" authorId="0">
      <text>
        <r>
          <rPr>
            <sz val="9"/>
            <color indexed="81"/>
            <rFont val="Tahoma"/>
            <family val="2"/>
          </rPr>
          <t xml:space="preserve">(pg. 128) This target is partially
incorporated into the NBSAP
2003- 2010, and include the
following national target:
i) Existence of a program for
the rehabilitation and
restoration of degraded
ecosystems
</t>
        </r>
      </text>
    </comment>
    <comment ref="Z149"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The total area of forests in Korea reach 6,369,000 ha as of the end of 2010, taking up 64% of the national territory, of which national forests account for 1,543,000 ha (24%), communal forests 488,000 ha (8%), and private forests 4,338,000 ha (64%).</t>
        </r>
      </text>
    </comment>
    <comment ref="AH149"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Despite of afforestation, colony restoration, and natural restoration, approximately 20.4% of wetland, 15.9% of farmland and 2.1% of forestland has declined within last two decades.</t>
        </r>
      </text>
    </comment>
    <comment ref="AO149"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Destruction and degradation of native habitat will continue through growth in road construction and development. The area of forest was 6,422,000 ha in 2000 and decreased to 6,369,000 ha in 2010, and the length of road extension was 88.8 million km in 2000 and increased to 105.7 million km in 2012. </t>
        </r>
      </text>
    </comment>
    <comment ref="BA149" authorId="0">
      <text>
        <r>
          <rPr>
            <b/>
            <sz val="9"/>
            <color indexed="81"/>
            <rFont val="Tahoma"/>
            <family val="2"/>
          </rPr>
          <t xml:space="preserve">Billy Tsekos:
NBSAP-P.49: </t>
        </r>
        <r>
          <rPr>
            <sz val="9"/>
            <color indexed="81"/>
            <rFont val="Tahoma"/>
            <family val="2"/>
          </rPr>
          <t>Biodiversity evaluation and restoring efforts</t>
        </r>
      </text>
    </comment>
    <comment ref="BE149" authorId="3">
      <text>
        <r>
          <rPr>
            <sz val="10"/>
            <color indexed="81"/>
            <rFont val="Calibri"/>
          </rPr>
          <t xml:space="preserve">2018
</t>
        </r>
      </text>
    </comment>
    <comment ref="BH149" authorId="1">
      <text>
        <r>
          <rPr>
            <b/>
            <sz val="9"/>
            <color indexed="81"/>
            <rFont val="Tahoma"/>
            <family val="2"/>
          </rPr>
          <t>billy.tsekos:</t>
        </r>
        <r>
          <rPr>
            <sz val="9"/>
            <color indexed="81"/>
            <rFont val="Tahoma"/>
            <family val="2"/>
          </rPr>
          <t xml:space="preserve">
</t>
        </r>
        <r>
          <rPr>
            <b/>
            <sz val="9"/>
            <color indexed="81"/>
            <rFont val="Tahoma"/>
            <family val="2"/>
          </rPr>
          <t xml:space="preserve">NBSAP-P.50: </t>
        </r>
        <r>
          <rPr>
            <sz val="9"/>
            <color indexed="81"/>
            <rFont val="Tahoma"/>
            <family val="2"/>
          </rPr>
          <t xml:space="preserve">Restoration of the 50 fragmented areas in vital ecosystem belts by constructing ecological corridors, and monitoring 100 ha/year of damaged forests in Baekdudaegan Mountain Range and DMZ area
</t>
        </r>
        <r>
          <rPr>
            <b/>
            <sz val="9"/>
            <color indexed="81"/>
            <rFont val="Tahoma"/>
            <family val="2"/>
          </rPr>
          <t xml:space="preserve">
NR-P.11: </t>
        </r>
        <r>
          <rPr>
            <sz val="9"/>
            <color indexed="81"/>
            <rFont val="Tahoma"/>
            <family val="2"/>
          </rPr>
          <t xml:space="preserve">The mountain range boasts beautiful topographical scenery including potholes sculpted by nature. The area’s ecosystems, however, have been degraded due to habitat fragmentation and other threats brought about by development.
</t>
        </r>
        <r>
          <rPr>
            <b/>
            <sz val="9"/>
            <color indexed="81"/>
            <rFont val="Tahoma"/>
            <family val="2"/>
          </rPr>
          <t>NR-P.16:</t>
        </r>
        <r>
          <rPr>
            <sz val="9"/>
            <color indexed="81"/>
            <rFont val="Tahoma"/>
            <family val="2"/>
          </rPr>
          <t xml:space="preserve">Threats against wildlife are continuing due to the increased number of road kills through habitat fragmentation, poaching and illegal trading.
</t>
        </r>
        <r>
          <rPr>
            <b/>
            <sz val="9"/>
            <color indexed="81"/>
            <rFont val="Tahoma"/>
            <family val="2"/>
          </rPr>
          <t>NR-P.23:</t>
        </r>
        <r>
          <rPr>
            <sz val="9"/>
            <color indexed="81"/>
            <rFont val="Tahoma"/>
            <family val="2"/>
          </rPr>
          <t xml:space="preserve">Effective management practices for IAS in Korea to reduce the habitat loss and fragmentation are in place. </t>
        </r>
      </text>
    </comment>
    <comment ref="BI149" authorId="1">
      <text>
        <r>
          <rPr>
            <b/>
            <sz val="9"/>
            <color indexed="81"/>
            <rFont val="Tahoma"/>
            <family val="2"/>
          </rPr>
          <t>billy.tsekos:</t>
        </r>
        <r>
          <rPr>
            <sz val="9"/>
            <color indexed="81"/>
            <rFont val="Tahoma"/>
            <family val="2"/>
          </rPr>
          <t xml:space="preserve">
</t>
        </r>
        <r>
          <rPr>
            <b/>
            <sz val="9"/>
            <color indexed="81"/>
            <rFont val="Tahoma"/>
            <family val="2"/>
          </rPr>
          <t>NBSAP-P.49:</t>
        </r>
        <r>
          <rPr>
            <sz val="9"/>
            <color indexed="81"/>
            <rFont val="Tahoma"/>
            <family val="2"/>
          </rPr>
          <t xml:space="preserve"> Biodiversity evaluation and restoring efforts</t>
        </r>
      </text>
    </comment>
    <comment ref="BP149" authorId="1">
      <text>
        <r>
          <rPr>
            <b/>
            <sz val="9"/>
            <color indexed="81"/>
            <rFont val="Tahoma"/>
            <family val="2"/>
          </rPr>
          <t>billy.tsekos:</t>
        </r>
        <r>
          <rPr>
            <sz val="9"/>
            <color indexed="81"/>
            <rFont val="Tahoma"/>
            <family val="2"/>
          </rPr>
          <t xml:space="preserve">
</t>
        </r>
        <r>
          <rPr>
            <b/>
            <sz val="9"/>
            <color indexed="81"/>
            <rFont val="Tahoma"/>
            <family val="2"/>
          </rPr>
          <t xml:space="preserve">NR-P.18: </t>
        </r>
        <r>
          <rPr>
            <sz val="9"/>
            <color indexed="81"/>
            <rFont val="Tahoma"/>
            <family val="2"/>
          </rPr>
          <t xml:space="preserve">CASE STUDY - Forest Ecosystems Restoration and Conservation in Korea
</t>
        </r>
        <r>
          <rPr>
            <b/>
            <sz val="9"/>
            <color indexed="81"/>
            <rFont val="Tahoma"/>
            <family val="2"/>
          </rPr>
          <t xml:space="preserve">
NBSAP-P.50</t>
        </r>
        <r>
          <rPr>
            <sz val="9"/>
            <color indexed="81"/>
            <rFont val="Tahoma"/>
            <family val="2"/>
          </rPr>
          <t xml:space="preserve">
• Construct information infrastructure by mapping national environment
• Construct national ecosystem network
• Executing and monitoring restoration projects of tidal flats
• Restore damages in Baekdudaegan Mountain Range and DMZ areas </t>
        </r>
      </text>
    </comment>
    <comment ref="BX149" authorId="1">
      <text>
        <r>
          <rPr>
            <b/>
            <sz val="9"/>
            <color indexed="81"/>
            <rFont val="Tahoma"/>
            <family val="2"/>
          </rPr>
          <t>billy.tsekos:</t>
        </r>
        <r>
          <rPr>
            <sz val="9"/>
            <color indexed="81"/>
            <rFont val="Tahoma"/>
            <family val="2"/>
          </rPr>
          <t xml:space="preserve">
</t>
        </r>
        <r>
          <rPr>
            <b/>
            <sz val="9"/>
            <color indexed="81"/>
            <rFont val="Tahoma"/>
            <family val="2"/>
          </rPr>
          <t xml:space="preserve">NBSAP-P.8: </t>
        </r>
        <r>
          <rPr>
            <sz val="9"/>
            <color indexed="81"/>
            <rFont val="Tahoma"/>
            <family val="2"/>
          </rPr>
          <t xml:space="preserve">One of major challenges Korea experienced is the reduction in biodiversity due to the expansion of population and the habitat loss caused by the rapid industrialization. Restoration programs were established to reintroduce the extinct species in Korean Peninsula and to increase the population of nearly extinct species. The Ministry of Environment revised the Endangered Wildlife Proliferation and Restoration Plan in 2011, which was originally developed in 2006. The National Center for Restoration and Endangered Species is under construction for 2013-2016. The restoration and proliferation programs for Asiatic black bear and fox were strengthened. Recently, the government has also expanded the restoration program of Crested Ibis, which became extinct in Korea in late 1970, with inter-nation collaboration between Korea and China
</t>
        </r>
      </text>
    </comment>
    <comment ref="CC149" authorId="1">
      <text>
        <r>
          <rPr>
            <b/>
            <sz val="9"/>
            <color indexed="81"/>
            <rFont val="Tahoma"/>
            <family val="2"/>
          </rPr>
          <t>billy.tsekos:</t>
        </r>
        <r>
          <rPr>
            <sz val="9"/>
            <color indexed="81"/>
            <rFont val="Tahoma"/>
            <family val="2"/>
          </rPr>
          <t xml:space="preserve">
</t>
        </r>
        <r>
          <rPr>
            <b/>
            <sz val="9"/>
            <color indexed="81"/>
            <rFont val="Tahoma"/>
            <family val="2"/>
          </rPr>
          <t>NBSAP-P.8:</t>
        </r>
        <r>
          <rPr>
            <sz val="9"/>
            <color indexed="81"/>
            <rFont val="Tahoma"/>
            <family val="2"/>
          </rPr>
          <t xml:space="preserve"> One of major challenges Korea experienced is the reduction in biodiversity due to the expansion of population and the habitat loss caused by the rapid industrialization. Restoration programs were established to reintroduce the extinct species in Korean Peninsula and to increase the population of nearly extinct species. The Ministry of Environment revised the Endangered Wildlife Proliferation and Restoration Plan in 2011, which was originally developed in 2006. The National Center for Restoration and Endangered Species is under construction for 2013-2016. The restoration and proliferation programs for Asiatic black bear and fox were strengthened. Recently, the government has also expanded the restoration program of Crested Ibis, which became extinct in Korea in late 1970, with inter-nation collaboration between Korea and China</t>
        </r>
      </text>
    </comment>
    <comment ref="CQ149" authorId="1">
      <text>
        <r>
          <rPr>
            <b/>
            <sz val="9"/>
            <color indexed="81"/>
            <rFont val="Tahoma"/>
            <family val="2"/>
          </rPr>
          <t xml:space="preserve">billy.tsekos:
NR-P.5: </t>
        </r>
        <r>
          <rPr>
            <sz val="9"/>
            <color indexed="81"/>
            <rFont val="Tahoma"/>
            <family val="2"/>
          </rPr>
          <t xml:space="preserve">Korean government expanded the biodiversity conservation infrastructure, but it is still necessary to promote eco-friendly life style for the conservation of biodiversity by improving management and conservation systems, securing biological resources and enhancing people’s awareness. It is highly required to prepare the scientific conservation andmanagement system on the basis of the strengthened monitoring of the vulnerable areas and susceptible species and the analysis of the impact of climate change. 
</t>
        </r>
        <r>
          <rPr>
            <b/>
            <sz val="9"/>
            <color indexed="81"/>
            <rFont val="Tahoma"/>
            <family val="2"/>
          </rPr>
          <t>NR-P.27:</t>
        </r>
        <r>
          <rPr>
            <sz val="9"/>
            <color indexed="81"/>
            <rFont val="Tahoma"/>
            <family val="2"/>
          </rPr>
          <t xml:space="preserve"> Currently, the first stage of research is finished with land, freshwater, coastal, and animal ecosystem being monitored in 19 locations across the country. From 2014, the period of
survey is shortened to 5-years in order to cope with speedy climate change. To establish the
effective prediction and monitoring system of the impact and vulnerability of climate change
to the distribution of biological species, 100 biological species were chosen as climate
sensitive species by NIBR under ME. </t>
        </r>
        <r>
          <rPr>
            <b/>
            <sz val="9"/>
            <color indexed="81"/>
            <rFont val="Tahoma"/>
            <family val="2"/>
          </rPr>
          <t xml:space="preserve">
</t>
        </r>
        <r>
          <rPr>
            <sz val="9"/>
            <color indexed="81"/>
            <rFont val="Tahoma"/>
            <family val="2"/>
          </rPr>
          <t xml:space="preserve">
</t>
        </r>
        <r>
          <rPr>
            <b/>
            <sz val="9"/>
            <color indexed="81"/>
            <rFont val="Tahoma"/>
            <family val="2"/>
          </rPr>
          <t>NR-P.64:</t>
        </r>
        <r>
          <rPr>
            <sz val="9"/>
            <color indexed="81"/>
            <rFont val="Tahoma"/>
            <family val="2"/>
          </rPr>
          <t xml:space="preserve"> Developing measures for adaptation to climate change to conserve biodiversity </t>
        </r>
      </text>
    </comment>
    <comment ref="CW149" authorId="1">
      <text>
        <r>
          <rPr>
            <b/>
            <sz val="9"/>
            <color indexed="81"/>
            <rFont val="Tahoma"/>
            <family val="2"/>
          </rPr>
          <t>billy.tsekos:</t>
        </r>
        <r>
          <rPr>
            <sz val="9"/>
            <color indexed="81"/>
            <rFont val="Tahoma"/>
            <family val="2"/>
          </rPr>
          <t xml:space="preserve">
</t>
        </r>
        <r>
          <rPr>
            <b/>
            <sz val="9"/>
            <color indexed="81"/>
            <rFont val="Tahoma"/>
            <family val="2"/>
          </rPr>
          <t xml:space="preserve">NR-P.22: </t>
        </r>
        <r>
          <rPr>
            <sz val="9"/>
            <color indexed="81"/>
            <rFont val="Tahoma"/>
            <family val="2"/>
          </rPr>
          <t>Restoration and protection efforts at national level were also proactively sought after with the significance of the government’s role to be continuously acknowledged. Amendments in related regulations are introduced in order to systematically categorize the designation of 22 protected areas. National Parks as well as the areas with excellent scenery, sites with rare biodiversity resources, wetlands and various islands are now included, which resulted in the increased number of nationally designated protected areas from 1,297 in 2008 to 1,402 in 2013. In 2013, a newly selected national park, Mudeungsan, was designated</t>
        </r>
      </text>
    </comment>
    <comment ref="DH149" authorId="1">
      <text>
        <r>
          <rPr>
            <b/>
            <sz val="9"/>
            <color indexed="81"/>
            <rFont val="Tahoma"/>
            <family val="2"/>
          </rPr>
          <t>billy.tsekos:</t>
        </r>
        <r>
          <rPr>
            <sz val="9"/>
            <color indexed="81"/>
            <rFont val="Tahoma"/>
            <family val="2"/>
          </rPr>
          <t xml:space="preserve">
Korea plans to reduce its greenhouse gas emissions by 37% from the business-as-usual (BAU, 850.6 MtCO2eq) level by 2030 across all economic sectors)
</t>
        </r>
        <r>
          <rPr>
            <b/>
            <sz val="9"/>
            <color indexed="81"/>
            <rFont val="Tahoma"/>
            <family val="2"/>
          </rPr>
          <t>Sectors:</t>
        </r>
        <r>
          <rPr>
            <sz val="9"/>
            <color indexed="81"/>
            <rFont val="Tahoma"/>
            <family val="2"/>
          </rPr>
          <t xml:space="preserve"> Energy, industrial processes and product use, agriculture and waste (A decision on whether to include land use, land-use change and forestry (LULUCF) will be made at a later stage.)</t>
        </r>
      </text>
    </comment>
    <comment ref="DL149" authorId="1">
      <text>
        <r>
          <rPr>
            <b/>
            <sz val="9"/>
            <color indexed="81"/>
            <rFont val="Tahoma"/>
            <family val="2"/>
          </rPr>
          <t>billy.tsekos:</t>
        </r>
        <r>
          <rPr>
            <sz val="9"/>
            <color indexed="81"/>
            <rFont val="Tahoma"/>
            <family val="2"/>
          </rPr>
          <t xml:space="preserve">
In acknowledgement of their significant roles in adaptation, subnational and local governments are mandated to develop their own action plans for climate change adaptation by 2015 tailored to the local context.
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
 Strengthening infrastructure for climate change monitoring, forecasting and analysis;
 Developing a management system for disaster prevention and stable water supply;
 Developing a climate-resilient ecosystem;
 Making a systemic transition to a climate-resilient social and economic structure; and
 Enhancing the system for the management of negative impacts of climate change on health
</t>
        </r>
      </text>
    </comment>
    <comment ref="ER149" authorId="0">
      <text>
        <r>
          <rPr>
            <sz val="9"/>
            <color indexed="81"/>
            <rFont val="Tahoma"/>
            <family val="2"/>
          </rPr>
          <t>Target 2.1 By 2022, the rate of loss and degradation of natural habitats outside protected areas serving as ecological corridors or containing key biodiversity areas or providing important ecosystem services is minimized through integrated land use planning</t>
        </r>
      </text>
    </comment>
    <comment ref="BA150" authorId="0">
      <text>
        <r>
          <rPr>
            <sz val="9"/>
            <color indexed="81"/>
            <rFont val="Tahoma"/>
            <family val="2"/>
          </rPr>
          <t>C2 Implementing measures to minimize degradation of water resources and aquatic biodiversity as well as identifying protection measures for them through the development and approval of 2 management plans for aquatic basins districts;</t>
        </r>
      </text>
    </comment>
    <comment ref="ER151" authorId="0">
      <text>
        <r>
          <rPr>
            <sz val="9"/>
            <color indexed="81"/>
            <rFont val="Tahoma"/>
            <family val="2"/>
          </rPr>
          <t>NI</t>
        </r>
      </text>
    </comment>
    <comment ref="BA153" authorId="0">
      <text>
        <r>
          <rPr>
            <sz val="9"/>
            <color indexed="81"/>
            <rFont val="Tahoma"/>
            <family val="2"/>
          </rPr>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r>
      </text>
    </comment>
    <comment ref="BI153" authorId="0">
      <text>
        <r>
          <rPr>
            <sz val="9"/>
            <color indexed="81"/>
            <rFont val="Tahoma"/>
            <family val="2"/>
          </rPr>
          <t xml:space="preserve">National Target 14: By 2020, 30% of the country is covered by forests hence increasing carbon stocks and contributing to climate change mitigation and adaptation. </t>
        </r>
      </text>
    </comment>
    <comment ref="ER153" authorId="0">
      <text>
        <r>
          <rPr>
            <sz val="9"/>
            <color indexed="81"/>
            <rFont val="Tahoma"/>
            <family val="2"/>
          </rPr>
          <t>Objective 1: Conservation and management of natural habitats
Objective 3: Manage land clearance to minimise adverse impacts on biodiversity
Objective 5: Protection and conservation of caves and their fauna</t>
        </r>
      </text>
    </comment>
    <comment ref="BA154" authorId="0">
      <text>
        <r>
          <rPr>
            <sz val="9"/>
            <color indexed="81"/>
            <rFont val="Tahoma"/>
            <family val="2"/>
          </rPr>
          <t xml:space="preserve">Target: By 2020, the status of biodiversity has improved by safeguarding ecosystems, species and genetic diversity in the 30 declared protected areas </t>
        </r>
      </text>
    </comment>
    <comment ref="BI155" authorId="0">
      <text>
        <r>
          <rPr>
            <sz val="9"/>
            <color indexed="81"/>
            <rFont val="Tahoma"/>
            <family val="2"/>
          </rPr>
          <t xml:space="preserve">(P. 31) Goal 2: To generate benefits for all citizens from biodiversity and ecosystem services for improved human well being </t>
        </r>
      </text>
    </comment>
    <comment ref="EH156" authorId="0">
      <text>
        <r>
          <rPr>
            <b/>
            <sz val="9"/>
            <color indexed="81"/>
            <rFont val="Tahoma"/>
            <family val="2"/>
          </rPr>
          <t>Khyber Pakhtunkhwa (KPK) Province
384,000 ha</t>
        </r>
        <r>
          <rPr>
            <sz val="9"/>
            <color indexed="81"/>
            <rFont val="Tahoma"/>
            <family val="2"/>
          </rPr>
          <t xml:space="preserve">
</t>
        </r>
      </text>
    </comment>
    <comment ref="H161" authorId="2">
      <text>
        <r>
          <rPr>
            <b/>
            <sz val="9"/>
            <color indexed="81"/>
            <rFont val="Calibri"/>
            <family val="2"/>
          </rPr>
          <t>Billy Tsekos:</t>
        </r>
        <r>
          <rPr>
            <sz val="9"/>
            <color indexed="81"/>
            <rFont val="Calibri"/>
            <family val="2"/>
          </rPr>
          <t xml:space="preserve">
2015</t>
        </r>
      </text>
    </comment>
    <comment ref="W161" authorId="2">
      <text>
        <r>
          <rPr>
            <b/>
            <sz val="9"/>
            <color indexed="81"/>
            <rFont val="Tahoma"/>
            <family val="2"/>
          </rPr>
          <t>Billy Tsekos:</t>
        </r>
        <r>
          <rPr>
            <sz val="9"/>
            <color indexed="81"/>
            <rFont val="Tahoma"/>
            <family val="2"/>
          </rPr>
          <t xml:space="preserve">
Déforestation annuelle nette : 40 000 ha par an</t>
        </r>
      </text>
    </comment>
    <comment ref="Z161" authorId="2">
      <text>
        <r>
          <rPr>
            <b/>
            <sz val="9"/>
            <color indexed="81"/>
            <rFont val="Tahoma"/>
            <family val="2"/>
          </rPr>
          <t>Billy Tsekos:
NR-P.88:</t>
        </r>
        <r>
          <rPr>
            <sz val="9"/>
            <color indexed="81"/>
            <rFont val="Tahoma"/>
            <family val="2"/>
          </rPr>
          <t xml:space="preserve"> Le domaine forestier couvre 31,7 % du pays et comprend les forêts classées, les périmètres de reboisement et de restauration, les réserves naturelles intégrales, les parcs nationaux et réserves spéciales. Il se répartit comme suit : 213 forêts classées de 6 237 648 hectares de superficie totale, y compris 20 réserves sylvopastorales (1 514 000 ha) et 8 zones d’intérêt cynégétique (1 976 315 ha), 10 parcs nationaux et réserves intégrales et spéciales qui couvrent une superficie de 1 613 790 ha, soit environ 8 % du territoire national</t>
        </r>
        <r>
          <rPr>
            <b/>
            <sz val="9"/>
            <color indexed="81"/>
            <rFont val="Tahoma"/>
            <family val="2"/>
          </rPr>
          <t xml:space="preserve">
</t>
        </r>
        <r>
          <rPr>
            <sz val="9"/>
            <color indexed="81"/>
            <rFont val="Tahoma"/>
            <family val="2"/>
          </rPr>
          <t xml:space="preserve">
</t>
        </r>
        <r>
          <rPr>
            <b/>
            <sz val="9"/>
            <color indexed="81"/>
            <rFont val="Tahoma"/>
            <family val="2"/>
          </rPr>
          <t>NBSAP-P.5</t>
        </r>
        <r>
          <rPr>
            <sz val="9"/>
            <color indexed="81"/>
            <rFont val="Tahoma"/>
            <family val="2"/>
          </rPr>
          <t>: Au Sénégal, il existe différents types de sols mais, de manière générale, les sols sont sablonneux et secs au nord du pays, ferrugineux dans les régions centrales et latéritiques dans la partie sud. Les terres arables au Sénégal représentent 19% de la superficie du pays.</t>
        </r>
      </text>
    </comment>
    <comment ref="AH161" authorId="2">
      <text>
        <r>
          <rPr>
            <b/>
            <sz val="9"/>
            <color indexed="81"/>
            <rFont val="Tahoma"/>
            <family val="2"/>
          </rPr>
          <t>Billy Tsekos:</t>
        </r>
        <r>
          <rPr>
            <sz val="9"/>
            <color indexed="81"/>
            <rFont val="Tahoma"/>
            <family val="2"/>
          </rPr>
          <t xml:space="preserve">
</t>
        </r>
        <r>
          <rPr>
            <b/>
            <sz val="9"/>
            <color indexed="81"/>
            <rFont val="Tahoma"/>
            <family val="2"/>
          </rPr>
          <t>NBSAP-P.18 &amp; 22:</t>
        </r>
        <r>
          <rPr>
            <sz val="9"/>
            <color indexed="81"/>
            <rFont val="Tahoma"/>
            <family val="2"/>
          </rPr>
          <t xml:space="preserve"> Ces différentes formes d’exploitation ont engendré une dégradation des écosystèmes et une diminution des populations de plusieurs espèces ligneuses. Par exemple, les écosystèmes forestiers se caractérisent par une diminution de leurs superficies, notamment au cours des deux dernières décennies (1990 - 2010). Elles sont passées de 9,7 millions d’hectares, en 2005, à 8,5 millions d’hectares en 2010 (FAO, 2010). Entre 2005 et 2010, les pertes moyennes annuelles enregistrées s’élèvent à 40.000 ha. Les zones côtières et marines sont aussi soumises à plusieurs contraintes qui affectent de façon négative la durabilité des ressources biologiques. 
</t>
        </r>
      </text>
    </comment>
    <comment ref="AO161" authorId="2">
      <text>
        <r>
          <rPr>
            <b/>
            <sz val="9"/>
            <color indexed="81"/>
            <rFont val="Tahoma"/>
            <family val="2"/>
          </rPr>
          <t>Billy Tsekos:</t>
        </r>
        <r>
          <rPr>
            <sz val="9"/>
            <color indexed="81"/>
            <rFont val="Tahoma"/>
            <family val="2"/>
          </rPr>
          <t xml:space="preserve">
</t>
        </r>
        <r>
          <rPr>
            <b/>
            <sz val="9"/>
            <color indexed="81"/>
            <rFont val="Tahoma"/>
            <family val="2"/>
          </rPr>
          <t xml:space="preserve">NBSAP-P.26: </t>
        </r>
        <r>
          <rPr>
            <sz val="9"/>
            <color indexed="81"/>
            <rFont val="Tahoma"/>
            <family val="2"/>
          </rPr>
          <t xml:space="preserve">Les estimations du Centre de Suivi Ecologique (CSE) évaluent à 847.600ha les superficies brûlées par les feux de brousse, en 2011, contre 755900ha en 2010. La biomasse ravagée par les feux de brousse s’élève à 5.741.810 tonnes en 2011. En 2012, les superficies brûlées sont évaluées à 89.824ha avec au total de 393 cas de feux déclarés (DEFCCS, 2013). 
</t>
        </r>
      </text>
    </comment>
    <comment ref="AV161" authorId="2">
      <text>
        <r>
          <rPr>
            <b/>
            <sz val="9"/>
            <color indexed="81"/>
            <rFont val="Tahoma"/>
            <family val="2"/>
          </rPr>
          <t>Billy Tsekos:</t>
        </r>
        <r>
          <rPr>
            <sz val="9"/>
            <color indexed="81"/>
            <rFont val="Tahoma"/>
            <family val="2"/>
          </rPr>
          <t xml:space="preserve">
</t>
        </r>
        <r>
          <rPr>
            <b/>
            <sz val="9"/>
            <color indexed="81"/>
            <rFont val="Tahoma"/>
            <family val="2"/>
          </rPr>
          <t>NBSAP-P.25:</t>
        </r>
        <r>
          <rPr>
            <sz val="9"/>
            <color indexed="81"/>
            <rFont val="Tahoma"/>
            <family val="2"/>
          </rPr>
          <t xml:space="preserve"> L’exploitation irrationnelle du bois d’énergie (bois de chauffe et charbon de bois) et du bois d’œuvre, a conduit à la raréfaction de nombreuses espèces végétales et une dégradation très visible des écosystèmes forestiers. Par exemple la production de  charbon de bois est passée de 57.947 tonnes, en 2010, à 74.749 tonnes en 2011, soit une augmentation de 29% alors que la quantité de bois de chauffe prélevée a enregistré une hausse de 17% en atteignant 126.127 stères en 2011 contre 107.145 stères en 2010. La pression s'est davantage accentuée sur l’exploitation du bois d’œuvre, avec un prélèvement de 667 pieds en 2011 contre 60 pieds en 2010 (ANSD, 2011). 
</t>
        </r>
      </text>
    </comment>
    <comment ref="BA161" authorId="0">
      <text>
        <r>
          <rPr>
            <b/>
            <sz val="9"/>
            <color indexed="81"/>
            <rFont val="Tahoma"/>
            <family val="2"/>
          </rPr>
          <t>Cible 4</t>
        </r>
        <r>
          <rPr>
            <sz val="9"/>
            <color indexed="81"/>
            <rFont val="Tahoma"/>
            <family val="2"/>
          </rPr>
          <t xml:space="preserve"> D’ici à 2025, la résilience des écosystèmes dégradés est améliorée.</t>
        </r>
      </text>
    </comment>
    <comment ref="BD161" authorId="2">
      <text>
        <r>
          <rPr>
            <b/>
            <sz val="9"/>
            <color indexed="81"/>
            <rFont val="Tahoma"/>
            <family val="2"/>
          </rPr>
          <t>Billy Tsekos:</t>
        </r>
        <r>
          <rPr>
            <sz val="9"/>
            <color indexed="81"/>
            <rFont val="Tahoma"/>
            <family val="2"/>
          </rPr>
          <t xml:space="preserve">
2025</t>
        </r>
      </text>
    </comment>
    <comment ref="BH161" authorId="2">
      <text>
        <r>
          <rPr>
            <b/>
            <sz val="9"/>
            <color indexed="81"/>
            <rFont val="Tahoma"/>
            <family val="2"/>
          </rPr>
          <t>Billy Tsekos:</t>
        </r>
        <r>
          <rPr>
            <sz val="9"/>
            <color indexed="81"/>
            <rFont val="Tahoma"/>
            <family val="2"/>
          </rPr>
          <t xml:space="preserve">
</t>
        </r>
        <r>
          <rPr>
            <b/>
            <sz val="9"/>
            <color indexed="81"/>
            <rFont val="Tahoma"/>
            <family val="2"/>
          </rPr>
          <t>NBSAP-P.25:</t>
        </r>
        <r>
          <rPr>
            <sz val="9"/>
            <color indexed="81"/>
            <rFont val="Tahoma"/>
            <family val="2"/>
          </rPr>
          <t xml:space="preserve"> La destruction et la fragmentation des écosystèmes constituent la première cause de perte de biodiversité dans le monde et le Sénégal n’est pas épargné. Dans le pays, ce phénomène est lié principalement à des activités anthropiques notamment l’agriculture, l’urbanisation, les barrages, etc. </t>
        </r>
      </text>
    </comment>
    <comment ref="BL161" authorId="2">
      <text>
        <r>
          <rPr>
            <b/>
            <sz val="9"/>
            <color indexed="81"/>
            <rFont val="Tahoma"/>
            <family val="2"/>
          </rPr>
          <t>Billy Tsekos:</t>
        </r>
        <r>
          <rPr>
            <sz val="9"/>
            <color indexed="81"/>
            <rFont val="Tahoma"/>
            <family val="2"/>
          </rPr>
          <t xml:space="preserve">
**</t>
        </r>
        <r>
          <rPr>
            <b/>
            <sz val="9"/>
            <color indexed="81"/>
            <rFont val="Tahoma"/>
            <family val="2"/>
          </rPr>
          <t>NR- P.91**</t>
        </r>
      </text>
    </comment>
    <comment ref="BP161" authorId="2">
      <text>
        <r>
          <rPr>
            <b/>
            <sz val="9"/>
            <color indexed="81"/>
            <rFont val="Tahoma"/>
            <family val="2"/>
          </rPr>
          <t>Billy Tsekos:</t>
        </r>
        <r>
          <rPr>
            <sz val="9"/>
            <color indexed="81"/>
            <rFont val="Tahoma"/>
            <family val="2"/>
          </rPr>
          <t xml:space="preserve">
</t>
        </r>
        <r>
          <rPr>
            <b/>
            <sz val="9"/>
            <color indexed="81"/>
            <rFont val="Tahoma"/>
            <family val="2"/>
          </rPr>
          <t>NR-P.83:</t>
        </r>
        <r>
          <rPr>
            <sz val="9"/>
            <color indexed="81"/>
            <rFont val="Tahoma"/>
            <family val="2"/>
          </rPr>
          <t xml:space="preserve"> Dans le secteur forestier les actions ont porté entre autres sur la production de plants (12 432 500 de plants par exemple pour l’année 2013), le reboisement avec des plantations massives, des plantations linéaires, des Plantations conservatoires, des mises en défens, de la Régénération naturelle assistée, de la Réhabilitation de mangrove et de palmeraie. Des actions de lutte contre l’érosion et de récupération des terres salées ont été entreprises. L’aménagement participatif des forêts communautaires a permis de réduire les coupes abusives au profit de l’exploitation contrôlée. L’Agence Nationale de la Grande Muraille Verte (ANGMV) a aussi entrepris d’énormes efforts en matière de restauration des écosystèmes avec la plantation de 20.600 ha et la mise en défens de 10.000 ha. Globalement, les progrès réalisés en matière de restauration et de préservation desécosystèmes forestiers ont permis d’améliorer le ratio reboisement sur déboisement qui est passé de 0,95 en 2010 à 0,99 en 2011 (ANDS, 2012).
</t>
        </r>
        <r>
          <rPr>
            <b/>
            <sz val="9"/>
            <color indexed="81"/>
            <rFont val="Tahoma"/>
            <family val="2"/>
          </rPr>
          <t>**NR- P.91**</t>
        </r>
      </text>
    </comment>
    <comment ref="BT161" authorId="2">
      <text>
        <r>
          <rPr>
            <b/>
            <sz val="9"/>
            <color indexed="81"/>
            <rFont val="Tahoma"/>
            <family val="2"/>
          </rPr>
          <t>Billy Tsekos:</t>
        </r>
        <r>
          <rPr>
            <sz val="9"/>
            <color indexed="81"/>
            <rFont val="Tahoma"/>
            <family val="2"/>
          </rPr>
          <t xml:space="preserve">
</t>
        </r>
        <r>
          <rPr>
            <b/>
            <sz val="9"/>
            <color indexed="81"/>
            <rFont val="Tahoma"/>
            <family val="2"/>
          </rPr>
          <t xml:space="preserve">NR-P.84: </t>
        </r>
        <r>
          <rPr>
            <sz val="9"/>
            <color indexed="81"/>
            <rFont val="Tahoma"/>
            <family val="2"/>
          </rPr>
          <t xml:space="preserve">C’est le cas du programme de reboisement entrepris par l’OCEANIUM en collaboration avec le groupe Danone qui a permis de reboiser plus de 12000 ha dans les estuaires de la
Casamance et du Saloum entre 2006 et 2012.
</t>
        </r>
        <r>
          <rPr>
            <b/>
            <sz val="9"/>
            <color indexed="81"/>
            <rFont val="Tahoma"/>
            <family val="2"/>
          </rPr>
          <t xml:space="preserve">
**NR- P.91**</t>
        </r>
      </text>
    </comment>
    <comment ref="BX161" authorId="2">
      <text>
        <r>
          <rPr>
            <b/>
            <sz val="9"/>
            <color indexed="81"/>
            <rFont val="Tahoma"/>
            <family val="2"/>
          </rPr>
          <t>Billy Tsekos:</t>
        </r>
        <r>
          <rPr>
            <sz val="9"/>
            <color indexed="81"/>
            <rFont val="Tahoma"/>
            <family val="2"/>
          </rPr>
          <t xml:space="preserve">
</t>
        </r>
        <r>
          <rPr>
            <b/>
            <sz val="9"/>
            <color indexed="81"/>
            <rFont val="Tahoma"/>
            <family val="2"/>
          </rPr>
          <t xml:space="preserve">NR-P.8:  </t>
        </r>
        <r>
          <rPr>
            <sz val="9"/>
            <color indexed="81"/>
            <rFont val="Tahoma"/>
            <family val="2"/>
          </rPr>
          <t xml:space="preserve">Au Sénégal, la dégradation des écosystèmes est due à l’action conjuguée de plusieurs facteurs dont l’expansion des terres agricoles, la surexploitation des ressources biologiques, le surpâturage, les feux de brousse, les espèces envahissantes, l’urbanisation croissante, la péjoration climatique.
</t>
        </r>
        <r>
          <rPr>
            <b/>
            <sz val="9"/>
            <color indexed="81"/>
            <rFont val="Tahoma"/>
            <family val="2"/>
          </rPr>
          <t>NR-P.49:</t>
        </r>
        <r>
          <rPr>
            <sz val="9"/>
            <color indexed="81"/>
            <rFont val="Tahoma"/>
            <family val="2"/>
          </rPr>
          <t xml:space="preserve">  L’un des facteurs les plus déterminants dans la dégradation des écosystèmes terrestres est la surcharge de bétail (figure 22). En plus de la surcharge, les mauvaises pratiques pastorales telles que l’élagage ou l’émondage constituent une contrainte majeure à la croissance et au développement des plantes</t>
        </r>
      </text>
    </comment>
    <comment ref="CP161" authorId="2">
      <text>
        <r>
          <rPr>
            <b/>
            <sz val="9"/>
            <color indexed="81"/>
            <rFont val="Tahoma"/>
            <family val="2"/>
          </rPr>
          <t>Billy Tsekos:</t>
        </r>
        <r>
          <rPr>
            <sz val="9"/>
            <color indexed="81"/>
            <rFont val="Tahoma"/>
            <family val="2"/>
          </rPr>
          <t xml:space="preserve">
</t>
        </r>
        <r>
          <rPr>
            <b/>
            <sz val="9"/>
            <color indexed="81"/>
            <rFont val="Tahoma"/>
            <family val="2"/>
          </rPr>
          <t>NBSAP-P.41:</t>
        </r>
        <r>
          <rPr>
            <sz val="9"/>
            <color indexed="81"/>
            <rFont val="Tahoma"/>
            <family val="2"/>
          </rPr>
          <t xml:space="preserve"> Cible 4 : D’ici à 2025, la résilience des écosystèmes dégradés est améliorée Il s’agit de mettre en œuvre des actions pour réduire les pressions sur les écosystèmes et renforcer leur capacité à faire face aux facteurs de dégradation naturels et anthropiques. Des actions seront développées pour permettre aux communautés de tirer profit durablement des biens et services écosystémiques et de renforcer ainsi leur capacité d’adaptation et de résilience. 
</t>
        </r>
      </text>
    </comment>
    <comment ref="CQ161" authorId="2">
      <text>
        <r>
          <rPr>
            <b/>
            <sz val="9"/>
            <color indexed="81"/>
            <rFont val="Tahoma"/>
            <family val="2"/>
          </rPr>
          <t>Billy Tsekos:</t>
        </r>
        <r>
          <rPr>
            <sz val="9"/>
            <color indexed="81"/>
            <rFont val="Tahoma"/>
            <family val="2"/>
          </rPr>
          <t xml:space="preserve">
</t>
        </r>
        <r>
          <rPr>
            <b/>
            <sz val="9"/>
            <color indexed="81"/>
            <rFont val="Tahoma"/>
            <family val="2"/>
          </rPr>
          <t>NR-p.82:</t>
        </r>
        <r>
          <rPr>
            <sz val="9"/>
            <color indexed="81"/>
            <rFont val="Tahoma"/>
            <family val="2"/>
          </rPr>
          <t xml:space="preserve"> la mise en œuvre intégrale du Plan d’Actions National d’Adaptation aux Changements Climatiques</t>
        </r>
      </text>
    </comment>
    <comment ref="CV161" authorId="2">
      <text>
        <r>
          <rPr>
            <b/>
            <sz val="9"/>
            <color indexed="81"/>
            <rFont val="Tahoma"/>
            <family val="2"/>
          </rPr>
          <t>Billy Tsekos:</t>
        </r>
        <r>
          <rPr>
            <sz val="9"/>
            <color indexed="81"/>
            <rFont val="Tahoma"/>
            <family val="2"/>
          </rPr>
          <t xml:space="preserve">
</t>
        </r>
        <r>
          <rPr>
            <b/>
            <sz val="9"/>
            <color indexed="81"/>
            <rFont val="Tahoma"/>
            <family val="2"/>
          </rPr>
          <t>NBSAP-P.35:</t>
        </r>
        <r>
          <rPr>
            <sz val="9"/>
            <color indexed="81"/>
            <rFont val="Tahoma"/>
            <family val="2"/>
          </rPr>
          <t xml:space="preserve">La SPNAB participe également à la mise en œuvre de lois, stratégies et plans d’action découlant des conventions et protocoles internationaux ratifiés par le Sénégal, ainsi que d’autres stratégies nationales telles que :  </t>
        </r>
        <r>
          <rPr>
            <b/>
            <sz val="9"/>
            <color indexed="81"/>
            <rFont val="Tahoma"/>
            <family val="2"/>
          </rPr>
          <t xml:space="preserve">
</t>
        </r>
        <r>
          <rPr>
            <sz val="9"/>
            <color indexed="81"/>
            <rFont val="Tahoma"/>
            <family val="2"/>
          </rPr>
          <t>la Stratégie et le Plan d’Action national de Lutte contre la Désertification (PAN /LCD) liée à la Convention Cadre des Nations Unies sur la lutte contre la désertification dans les pays gravement touchés par la sécheresse et/ou la désertification ;</t>
        </r>
      </text>
    </comment>
    <comment ref="CW161" authorId="2">
      <text>
        <r>
          <rPr>
            <b/>
            <sz val="9"/>
            <color indexed="81"/>
            <rFont val="Tahoma"/>
            <family val="2"/>
          </rPr>
          <t>Billy Tsekos:</t>
        </r>
        <r>
          <rPr>
            <sz val="9"/>
            <color indexed="81"/>
            <rFont val="Tahoma"/>
            <family val="2"/>
          </rPr>
          <t xml:space="preserve">
</t>
        </r>
        <r>
          <rPr>
            <b/>
            <sz val="9"/>
            <color indexed="81"/>
            <rFont val="Tahoma"/>
            <family val="2"/>
          </rPr>
          <t xml:space="preserve">NR-P.83:  </t>
        </r>
        <r>
          <rPr>
            <sz val="9"/>
            <color indexed="81"/>
            <rFont val="Tahoma"/>
            <family val="2"/>
          </rPr>
          <t>Les progrès réalisés en matière de restauration et de préservation des écosystèmes forestiers ont permis d’améliorer le ratio reboisement sur déboisement qui est passé de 0,95 en 2010 à 0,99 en 2011 (ANDS, 2012).</t>
        </r>
      </text>
    </comment>
    <comment ref="DG161" authorId="2">
      <text>
        <r>
          <rPr>
            <b/>
            <sz val="9"/>
            <color indexed="81"/>
            <rFont val="Tahoma"/>
            <family val="2"/>
          </rPr>
          <t xml:space="preserve">Billy Tsekos:
</t>
        </r>
        <r>
          <rPr>
            <sz val="9"/>
            <color indexed="81"/>
            <rFont val="Tahoma"/>
            <family val="2"/>
          </rPr>
          <t xml:space="preserve">The conditional reduction objective below are only for the agriculture sector. </t>
        </r>
        <r>
          <rPr>
            <sz val="9"/>
            <color indexed="81"/>
            <rFont val="Tahoma"/>
            <family val="2"/>
          </rPr>
          <t xml:space="preserve">
0.35% = 2020
.51% = 2025
.36% = 2030 </t>
        </r>
      </text>
    </comment>
    <comment ref="DJ161" authorId="2">
      <text>
        <r>
          <rPr>
            <b/>
            <sz val="9"/>
            <color indexed="81"/>
            <rFont val="Tahoma"/>
            <family val="2"/>
          </rPr>
          <t>Billy Tsekos:</t>
        </r>
        <r>
          <rPr>
            <sz val="9"/>
            <color indexed="81"/>
            <rFont val="Tahoma"/>
            <family val="2"/>
          </rPr>
          <t xml:space="preserve">
 Réduction du taux de déforestation (qui est de - 40 000 ha) de 25% à partir de 2023
 Aménagement de 20 forêts par an pendant 5 ans dont 60% de forêts classées et 40% de forêts communales
 Mise en défens/RNA, reboisement par enrichissement des forêts
 4000 ha/an de mangroves mis en défens et reboisés à partir de 2017
 200 000 à 204 000 ha reboisées annuellement à partir de 2017 </t>
        </r>
      </text>
    </comment>
    <comment ref="DK161" authorId="2">
      <text>
        <r>
          <rPr>
            <b/>
            <sz val="9"/>
            <color indexed="81"/>
            <rFont val="Tahoma"/>
            <family val="2"/>
          </rPr>
          <t>Billy Tsekos:
-</t>
        </r>
        <r>
          <rPr>
            <sz val="9"/>
            <color indexed="81"/>
            <rFont val="Tahoma"/>
            <family val="2"/>
          </rPr>
          <t>Réduction des Émissions liées à la déforestation et la dégradation des forêts</t>
        </r>
        <r>
          <rPr>
            <b/>
            <sz val="9"/>
            <color indexed="81"/>
            <rFont val="Tahoma"/>
            <family val="2"/>
          </rPr>
          <t xml:space="preserve">
- </t>
        </r>
        <r>
          <rPr>
            <sz val="9"/>
            <color indexed="81"/>
            <rFont val="Tahoma"/>
            <family val="2"/>
          </rPr>
          <t>Réduction des émissions liées aux feux de brousse et de pâturages
BAU : 907.656,2 ha brûlés en moyenne de 2006 à 2010</t>
        </r>
        <r>
          <rPr>
            <b/>
            <sz val="9"/>
            <color indexed="81"/>
            <rFont val="Tahoma"/>
            <family val="2"/>
          </rPr>
          <t xml:space="preserve">
</t>
        </r>
        <r>
          <rPr>
            <sz val="9"/>
            <color indexed="81"/>
            <rFont val="Tahoma"/>
            <family val="2"/>
          </rPr>
          <t xml:space="preserve">
- Séquestrations dues au reboisement des forêts classées
BAU : 22 392 ha/an de 2011 à 2035
</t>
        </r>
      </text>
    </comment>
    <comment ref="DL161" authorId="2">
      <text>
        <r>
          <rPr>
            <b/>
            <sz val="9"/>
            <color indexed="81"/>
            <rFont val="Tahoma"/>
            <family val="2"/>
          </rPr>
          <t>Billy Tsekos:</t>
        </r>
        <r>
          <rPr>
            <sz val="9"/>
            <color indexed="81"/>
            <rFont val="Tahoma"/>
            <family val="2"/>
          </rPr>
          <t xml:space="preserve">
 Mise en œuvre des instruments tels que : la Stratégie et le Plan National d’Action sur la Biodiversité (SPNAB), la Politique Nationale de Gestion des Zones Humides (PNZH), le projet de loi-cadre sur la biodiversité et les aires protégées ;
 Renforcement de la résilience des écosystèmes;</t>
        </r>
      </text>
    </comment>
    <comment ref="DM161" authorId="2">
      <text>
        <r>
          <rPr>
            <b/>
            <sz val="9"/>
            <color indexed="81"/>
            <rFont val="Tahoma"/>
            <family val="2"/>
          </rPr>
          <t>Billy Tsekos:</t>
        </r>
        <r>
          <rPr>
            <sz val="9"/>
            <color indexed="81"/>
            <rFont val="Tahoma"/>
            <family val="2"/>
          </rPr>
          <t xml:space="preserve">
- 7 525 Gg ECO2 (2000) 
- 13 076 Gg ECO2 (2005)</t>
        </r>
      </text>
    </comment>
    <comment ref="DN161" authorId="2">
      <text>
        <r>
          <rPr>
            <b/>
            <sz val="9"/>
            <color indexed="81"/>
            <rFont val="Tahoma"/>
            <family val="2"/>
          </rPr>
          <t>Billy Tsekos:</t>
        </r>
        <r>
          <rPr>
            <sz val="9"/>
            <color indexed="81"/>
            <rFont val="Tahoma"/>
            <family val="2"/>
          </rPr>
          <t xml:space="preserve">
20000 = emmisons de CO2 Eq dans la foresterie (2010)</t>
        </r>
      </text>
    </comment>
    <comment ref="DO161" authorId="2">
      <text>
        <r>
          <rPr>
            <b/>
            <sz val="9"/>
            <color indexed="81"/>
            <rFont val="Tahoma"/>
            <family val="2"/>
          </rPr>
          <t>Billy Tsekos:</t>
        </r>
        <r>
          <rPr>
            <sz val="9"/>
            <color indexed="81"/>
            <rFont val="Tahoma"/>
            <family val="2"/>
          </rPr>
          <t xml:space="preserve">
5000 = emmisons de CO2 Eq dans la agriculture (2010)</t>
        </r>
      </text>
    </comment>
    <comment ref="ER161" authorId="0">
      <text>
        <r>
          <rPr>
            <sz val="9"/>
            <color indexed="81"/>
            <rFont val="Tahoma"/>
            <family val="2"/>
          </rPr>
          <t>C2 Implementing measures to minimize degradation of water resources and aquatic biodiversity as well as identifying protection measures for them through the development and approval of 2 management plans for aquatic basins districts;</t>
        </r>
      </text>
    </comment>
    <comment ref="G162" authorId="2">
      <text>
        <r>
          <rPr>
            <b/>
            <sz val="9"/>
            <color indexed="81"/>
            <rFont val="Tahoma"/>
            <family val="2"/>
          </rPr>
          <t>Billy Tsekos:</t>
        </r>
        <r>
          <rPr>
            <sz val="9"/>
            <color indexed="81"/>
            <rFont val="Tahoma"/>
            <family val="2"/>
          </rPr>
          <t xml:space="preserve">
2012</t>
        </r>
      </text>
    </comment>
    <comment ref="Z162"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According to the data from the National Forest Inventory (Banković et al., 2009), where the last comprehensive evaluation of the forest resources was made, Serbia is a medium-forested country. Out of the total territory, 29.1% is under forests (in central Serbia 37.1% and in Vojvodina 7.1%). Other forest land, which according to the international definition includes thickets and shrubberies, stretches over 4.9%. In comparison with the reference year 1979, the increase of areas covered with forests amounts to 5.2%..
</t>
        </r>
        <r>
          <rPr>
            <b/>
            <sz val="9"/>
            <color indexed="81"/>
            <rFont val="Tahoma"/>
            <family val="2"/>
          </rPr>
          <t xml:space="preserve">NR-P.6: </t>
        </r>
        <r>
          <rPr>
            <sz val="9"/>
            <color indexed="81"/>
            <rFont val="Tahoma"/>
            <family val="2"/>
          </rPr>
          <t xml:space="preserve">Ten areas have been recognized and included into the list of wetlands of international importance (Ramsar areas), and they cover a surface of 63,919 hectares, which is equivalent to 0.72% of the territory of Serbia. </t>
        </r>
      </text>
    </comment>
    <comment ref="AO162"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Damages caused by fires in 2012 were recorded on the surface of 7 460 ha, with 63 118 m3 of damaged wood mass.</t>
        </r>
      </text>
    </comment>
    <comment ref="BA162" authorId="0">
      <text>
        <r>
          <rPr>
            <sz val="9"/>
            <color indexed="81"/>
            <rFont val="Tahoma"/>
            <family val="2"/>
          </rPr>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r>
      </text>
    </comment>
    <comment ref="BI162" authorId="2">
      <text>
        <r>
          <rPr>
            <b/>
            <sz val="9"/>
            <color indexed="81"/>
            <rFont val="Tahoma"/>
            <family val="2"/>
          </rPr>
          <t>Billy Tsekos:</t>
        </r>
        <r>
          <rPr>
            <sz val="9"/>
            <color indexed="81"/>
            <rFont val="Tahoma"/>
            <family val="2"/>
          </rPr>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r>
      </text>
    </comment>
    <comment ref="BL162" authorId="2">
      <text>
        <r>
          <rPr>
            <b/>
            <sz val="9"/>
            <color indexed="81"/>
            <rFont val="Tahoma"/>
            <family val="2"/>
          </rPr>
          <t>Billy Tsekos:
NR-P.41:</t>
        </r>
        <r>
          <rPr>
            <sz val="9"/>
            <color indexed="81"/>
            <rFont val="Tahoma"/>
            <family val="2"/>
          </rPr>
          <t xml:space="preserve"> Conservation of areas of importance to fungi
</t>
        </r>
        <r>
          <rPr>
            <b/>
            <sz val="9"/>
            <color indexed="81"/>
            <rFont val="Tahoma"/>
            <family val="2"/>
          </rPr>
          <t>NR-P.71</t>
        </r>
        <r>
          <rPr>
            <sz val="9"/>
            <color indexed="81"/>
            <rFont val="Tahoma"/>
            <family val="2"/>
          </rPr>
          <t xml:space="preserve">: Establish and manage an allencompassing, adequate and representative protected areas system which enables biological diversity of the Republic of Serbia. </t>
        </r>
      </text>
    </comment>
    <comment ref="BP162"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 xml:space="preserve">Artificial aforestation was lesser in 2012 than in 2011, namely by 686 ha, which represents a decrease of about 24% in comparison with the previous year. The total afforested surface in 2012 amounts to 2 135 ha. The surface afforested with coniferous species amounts to 869 ha, which represents about 41% of the total afforested surface in 2012. In the public sector, 1 541 ha was afforested, and 594 ha of land were afforested in the private sector. </t>
        </r>
      </text>
    </comment>
    <comment ref="BX162" authorId="2">
      <text>
        <r>
          <rPr>
            <b/>
            <sz val="9"/>
            <color indexed="81"/>
            <rFont val="Tahoma"/>
            <family val="2"/>
          </rPr>
          <t>Billy Tsekos:</t>
        </r>
        <r>
          <rPr>
            <sz val="9"/>
            <color indexed="81"/>
            <rFont val="Tahoma"/>
            <family val="2"/>
          </rPr>
          <t xml:space="preserve">
</t>
        </r>
        <r>
          <rPr>
            <b/>
            <sz val="9"/>
            <color indexed="81"/>
            <rFont val="Tahoma"/>
            <family val="2"/>
          </rPr>
          <t>NR-P.17</t>
        </r>
        <r>
          <rPr>
            <sz val="9"/>
            <color indexed="81"/>
            <rFont val="Tahoma"/>
            <family val="2"/>
          </rPr>
          <t>: Table 1. Diagram of pressures, threats and causes</t>
        </r>
      </text>
    </comment>
    <comment ref="CK162"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Table II - Carbon reserves in relation to the origin of forests.
Source: The National forest Inventory, 2009
</t>
        </r>
      </text>
    </comment>
    <comment ref="CQ162" authorId="2">
      <text>
        <r>
          <rPr>
            <b/>
            <sz val="9"/>
            <color indexed="81"/>
            <rFont val="Tahoma"/>
            <family val="2"/>
          </rPr>
          <t>Billy Tsekos:</t>
        </r>
        <r>
          <rPr>
            <sz val="9"/>
            <color indexed="81"/>
            <rFont val="Tahoma"/>
            <family val="2"/>
          </rPr>
          <t xml:space="preserve">
</t>
        </r>
        <r>
          <rPr>
            <b/>
            <sz val="9"/>
            <color indexed="81"/>
            <rFont val="Tahoma"/>
            <family val="2"/>
          </rPr>
          <t xml:space="preserve">NR-P.104: </t>
        </r>
        <r>
          <rPr>
            <sz val="9"/>
            <color indexed="81"/>
            <rFont val="Tahoma"/>
            <family val="2"/>
          </rPr>
          <t>Creation of the National strategy for adaptation to changed climate conditions and the Action plan within IPA 2 programming (2014-2016) has been proposed, and it should include biodiversity. 
 Within the project “Southeast European Forum for the Adaptation to Climate Change”, which is financed through pre-accession funds of the European Union, the study “Evaluation of vulnerability to climate change – Serbia” was elaborated in 2012</t>
        </r>
      </text>
    </comment>
    <comment ref="CW162"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 Figure I - Protected areas and areas in protection procedure in Serbia: number, total surface in hectares and percentage of protected territory (comparison of the state in 2011 and 2014)</t>
        </r>
      </text>
    </comment>
    <comment ref="BA163" authorId="0">
      <text>
        <r>
          <rPr>
            <sz val="9"/>
            <color indexed="81"/>
            <rFont val="Tahoma"/>
            <family val="2"/>
          </rPr>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r>
      </text>
    </comment>
    <comment ref="H164" authorId="2">
      <text>
        <r>
          <rPr>
            <b/>
            <sz val="9"/>
            <color indexed="81"/>
            <rFont val="Calibri"/>
            <family val="2"/>
          </rPr>
          <t>Billy Tsekos:</t>
        </r>
        <r>
          <rPr>
            <sz val="9"/>
            <color indexed="81"/>
            <rFont val="Calibri"/>
            <family val="2"/>
          </rPr>
          <t xml:space="preserve">
2006</t>
        </r>
      </text>
    </comment>
    <comment ref="Z164" authorId="2">
      <text>
        <r>
          <rPr>
            <b/>
            <sz val="9"/>
            <color indexed="81"/>
            <rFont val="Tahoma"/>
            <family val="2"/>
          </rPr>
          <t>Billy Tsekos:</t>
        </r>
        <r>
          <rPr>
            <sz val="9"/>
            <color indexed="81"/>
            <rFont val="Tahoma"/>
            <family val="2"/>
          </rPr>
          <t xml:space="preserve">
</t>
        </r>
        <r>
          <rPr>
            <b/>
            <sz val="9"/>
            <color indexed="81"/>
            <rFont val="Tahoma"/>
            <family val="2"/>
          </rPr>
          <t>NR-P.1:</t>
        </r>
        <r>
          <rPr>
            <sz val="9"/>
            <color indexed="81"/>
            <rFont val="Tahoma"/>
            <family val="2"/>
          </rPr>
          <t xml:space="preserve"> Sierra Leone has a total land surface area of 71,740 Km2 (27,699 sq miles). The total arable land is 6,026 km2 or 0.6million hectares (accounting for 8.4% of the total surface area); agricultural land is 28,839.5 Km2 or 2.9 million hectares, (40.2%); permanent crop land is 789.14 (representing 1.1% of the land surface area); irrigated area stand at 37.1 Km2 (accounting for 4.7% of permanent crop land); forest land stand at 27,620 Km2 (38.5% of land surface) while national protected land is 2,941km2 (this is 4.1% of the total surface area); other land use accounts for 7.7% of the total surface land area (World Bank Sierra Leone Country Profile (2009).
</t>
        </r>
        <r>
          <rPr>
            <b/>
            <sz val="9"/>
            <color indexed="81"/>
            <rFont val="Tahoma"/>
            <family val="2"/>
          </rPr>
          <t>NR-P.7:</t>
        </r>
        <r>
          <rPr>
            <sz val="9"/>
            <color indexed="81"/>
            <rFont val="Tahoma"/>
            <family val="2"/>
          </rPr>
          <t xml:space="preserve"> According to Table 2, plantations which include fuelwood and forest tree establishments form a small proportion of the land cover. </t>
        </r>
      </text>
    </comment>
    <comment ref="AH164" authorId="2">
      <text>
        <r>
          <rPr>
            <b/>
            <sz val="9"/>
            <color indexed="81"/>
            <rFont val="Tahoma"/>
            <family val="2"/>
          </rPr>
          <t>Billy Tsekos:</t>
        </r>
        <r>
          <rPr>
            <sz val="9"/>
            <color indexed="81"/>
            <rFont val="Tahoma"/>
            <family val="2"/>
          </rPr>
          <t xml:space="preserve">
</t>
        </r>
        <r>
          <rPr>
            <b/>
            <sz val="9"/>
            <color indexed="81"/>
            <rFont val="Tahoma"/>
            <family val="2"/>
          </rPr>
          <t>NR-P.6</t>
        </r>
        <r>
          <rPr>
            <sz val="9"/>
            <color indexed="81"/>
            <rFont val="Tahoma"/>
            <family val="2"/>
          </rPr>
          <t xml:space="preserve">: It was estimated that by the turn of the century, 60% of the land surface of the country was covered by closed forest, although a number of reports (e.g. Scott-Elliot and Raisin, 1893) and anecdotal  evidences indicate that much of the primary forest had been slashed. Phillipson (1978) reported that by 1970 only about 5% of the original forest remained in the country, much of which have lost through slash and burn agriculture. A large proportion of the country’s land surface (over 50%) is now occupied by farmbush and forest regrowth at various stages of succession. The changes in forest cover have been under a dynamic state characterized by clearing, cultivation and regeneration. This cycle, which is basically a cultivation- fallowing ecological succession, is the most common agricultural practice in the country. The nation’s forest resources have come under serious pressure from urbanization and sprawling, commercial logging and timber production, quest for additional farmlands, fuel wood and charcoal production, mining and monoculture cultivation. </t>
        </r>
      </text>
    </comment>
    <comment ref="BL164" authorId="2">
      <text>
        <r>
          <rPr>
            <b/>
            <sz val="9"/>
            <color indexed="81"/>
            <rFont val="Tahoma"/>
            <family val="2"/>
          </rPr>
          <t xml:space="preserve">Billy Tsekos:
Gola Forest Conservation Project;
</t>
        </r>
        <r>
          <rPr>
            <sz val="9"/>
            <color indexed="81"/>
            <rFont val="Tahoma"/>
            <family val="2"/>
          </rPr>
          <t xml:space="preserve">
</t>
        </r>
        <r>
          <rPr>
            <b/>
            <sz val="9"/>
            <color indexed="81"/>
            <rFont val="Tahoma"/>
            <family val="2"/>
          </rPr>
          <t xml:space="preserve">NR-P.69: </t>
        </r>
        <r>
          <rPr>
            <sz val="9"/>
            <color indexed="81"/>
            <rFont val="Tahoma"/>
            <family val="2"/>
          </rPr>
          <t xml:space="preserve">The Conservation Society of Sierra Leone (CSSL) is a national, non-profit, non-governmental organization. It is a membership organization for a wider community with interest in promoting biodiversity protection and conservation in Sierra Leone. The membership is open to every individual from every background both scientific and non-scientific backgrounds. </t>
        </r>
      </text>
    </comment>
    <comment ref="BP164" authorId="2">
      <text>
        <r>
          <rPr>
            <b/>
            <sz val="9"/>
            <color indexed="81"/>
            <rFont val="Tahoma"/>
            <family val="2"/>
          </rPr>
          <t>Billy Tsekos:
NR-p.93</t>
        </r>
        <r>
          <rPr>
            <sz val="9"/>
            <color indexed="81"/>
            <rFont val="Tahoma"/>
            <family val="2"/>
          </rPr>
          <t xml:space="preserve">:The status of vegetation restoration programmes in Sierra Leone </t>
        </r>
        <r>
          <rPr>
            <b/>
            <sz val="9"/>
            <color indexed="81"/>
            <rFont val="Tahoma"/>
            <family val="2"/>
          </rPr>
          <t xml:space="preserve">
NR-p.94: </t>
        </r>
        <r>
          <rPr>
            <sz val="9"/>
            <color indexed="81"/>
            <rFont val="Tahoma"/>
            <family val="2"/>
          </rPr>
          <t xml:space="preserve">Forest vegetation restoration through fuel wood establishment </t>
        </r>
        <r>
          <rPr>
            <b/>
            <sz val="9"/>
            <color indexed="81"/>
            <rFont val="Tahoma"/>
            <family val="2"/>
          </rPr>
          <t xml:space="preserve">
</t>
        </r>
        <r>
          <rPr>
            <sz val="9"/>
            <color indexed="81"/>
            <rFont val="Tahoma"/>
            <family val="2"/>
          </rPr>
          <t xml:space="preserve">
</t>
        </r>
        <r>
          <rPr>
            <b/>
            <sz val="9"/>
            <color indexed="81"/>
            <rFont val="Tahoma"/>
            <family val="2"/>
          </rPr>
          <t xml:space="preserve">NR-p.95: </t>
        </r>
        <r>
          <rPr>
            <sz val="9"/>
            <color indexed="81"/>
            <rFont val="Tahoma"/>
            <family val="2"/>
          </rPr>
          <t xml:space="preserve">Mangrove forest restoration 
</t>
        </r>
        <r>
          <rPr>
            <b/>
            <sz val="9"/>
            <color indexed="81"/>
            <rFont val="Tahoma"/>
            <family val="2"/>
          </rPr>
          <t xml:space="preserve">NR-p.95: </t>
        </r>
        <r>
          <rPr>
            <sz val="9"/>
            <color indexed="81"/>
            <rFont val="Tahoma"/>
            <family val="2"/>
          </rPr>
          <t>Restoration of land degraded by mining</t>
        </r>
      </text>
    </comment>
    <comment ref="BT164" authorId="2">
      <text>
        <r>
          <rPr>
            <b/>
            <sz val="9"/>
            <color indexed="81"/>
            <rFont val="Tahoma"/>
            <family val="2"/>
          </rPr>
          <t>Billy Tsekos:</t>
        </r>
        <r>
          <rPr>
            <sz val="9"/>
            <color indexed="81"/>
            <rFont val="Tahoma"/>
            <family val="2"/>
          </rPr>
          <t xml:space="preserve">
</t>
        </r>
        <r>
          <rPr>
            <b/>
            <sz val="9"/>
            <color indexed="81"/>
            <rFont val="Tahoma"/>
            <family val="2"/>
          </rPr>
          <t>NR-P.93:</t>
        </r>
        <r>
          <rPr>
            <sz val="9"/>
            <color indexed="81"/>
            <rFont val="Tahoma"/>
            <family val="2"/>
          </rPr>
          <t xml:space="preserve"> The drive to restore the forests in the country can be dated as far back as the colonial era when it became apparent that the country was losing its forests. Various reforestation and even afforestation programmes and strategies have tried some of which have been  quite successful and their outcome are still evident today. However, some other efforts  were futile because policies were out of phase with practice, especially in situations where local communities were involved. Most of the unsuccessful reforestation programmes had no management plans, the forestry officers did not involve the local communities on the management of the plots Thus there are many reforested plots wood lots around the country with virtually no management systems. </t>
        </r>
      </text>
    </comment>
    <comment ref="BX164"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THE MAIN THREATS TO BIODIVERSITY</t>
        </r>
      </text>
    </comment>
    <comment ref="CK164" authorId="2">
      <text>
        <r>
          <rPr>
            <b/>
            <sz val="9"/>
            <color indexed="81"/>
            <rFont val="Tahoma"/>
            <family val="2"/>
          </rPr>
          <t>Billy Tsekos:</t>
        </r>
        <r>
          <rPr>
            <sz val="9"/>
            <color indexed="81"/>
            <rFont val="Tahoma"/>
            <family val="2"/>
          </rPr>
          <t xml:space="preserve">
</t>
        </r>
        <r>
          <rPr>
            <b/>
            <sz val="9"/>
            <color indexed="81"/>
            <rFont val="Tahoma"/>
            <family val="2"/>
          </rPr>
          <t xml:space="preserve">NR-P.109: </t>
        </r>
        <r>
          <rPr>
            <sz val="9"/>
            <color indexed="81"/>
            <rFont val="Tahoma"/>
            <family val="2"/>
          </rPr>
          <t>Baseline carbon stock assessment are being carried out at Gola, WAPE and Loma mountains forest reserves. Further potential for carbon sequestration could be realized from reforestation programs. There is need to collaborate with the REED initiative implementation by the Forestry Division</t>
        </r>
      </text>
    </comment>
    <comment ref="CP164" authorId="2">
      <text>
        <r>
          <rPr>
            <b/>
            <sz val="9"/>
            <color indexed="81"/>
            <rFont val="Tahoma"/>
            <family val="2"/>
          </rPr>
          <t>Billy Tsekos:</t>
        </r>
        <r>
          <rPr>
            <sz val="9"/>
            <color indexed="81"/>
            <rFont val="Tahoma"/>
            <family val="2"/>
          </rPr>
          <t xml:space="preserve">
</t>
        </r>
        <r>
          <rPr>
            <b/>
            <sz val="9"/>
            <color indexed="81"/>
            <rFont val="Tahoma"/>
            <family val="2"/>
          </rPr>
          <t>NR-P.109:</t>
        </r>
        <r>
          <rPr>
            <sz val="9"/>
            <color indexed="81"/>
            <rFont val="Tahoma"/>
            <family val="2"/>
          </rPr>
          <t xml:space="preserve"> Baseline carbon stock assessment are being carried out at Gola, WAPE and Loma mountains forest reserves. Further potential for carbon sequestration could be realized from reforestation programs. There is need to collaborate with the REED initiative implementation by the Forestry Division</t>
        </r>
      </text>
    </comment>
    <comment ref="CQ164" authorId="2">
      <text>
        <r>
          <rPr>
            <b/>
            <sz val="9"/>
            <color indexed="81"/>
            <rFont val="Tahoma"/>
            <family val="2"/>
          </rPr>
          <t>Billy Tsekos:</t>
        </r>
        <r>
          <rPr>
            <sz val="9"/>
            <color indexed="81"/>
            <rFont val="Tahoma"/>
            <family val="2"/>
          </rPr>
          <t xml:space="preserve">
</t>
        </r>
        <r>
          <rPr>
            <b/>
            <sz val="9"/>
            <color indexed="81"/>
            <rFont val="Tahoma"/>
            <family val="2"/>
          </rPr>
          <t xml:space="preserve">NR-P.47: </t>
        </r>
        <r>
          <rPr>
            <sz val="9"/>
            <color indexed="81"/>
            <rFont val="Tahoma"/>
            <family val="2"/>
          </rPr>
          <t xml:space="preserve">Removing mangroves for fuel, salt and rice production makes the coast more vulnerable to erosion leading to siltation. FAO tree planting exercise at Orugu Bridge in 1988 is an attempt to redress that situation. Sustainable utilization of mangrove swamps is possible up to 50 %, of the original area (Fomba, Pers. Comm.). 
</t>
        </r>
      </text>
    </comment>
    <comment ref="CW164" authorId="2">
      <text>
        <r>
          <rPr>
            <b/>
            <sz val="9"/>
            <color indexed="81"/>
            <rFont val="Tahoma"/>
            <family val="2"/>
          </rPr>
          <t>Billy Tsekos:
NR-P.90:</t>
        </r>
        <r>
          <rPr>
            <sz val="9"/>
            <color indexed="81"/>
            <rFont val="Tahoma"/>
            <family val="2"/>
          </rPr>
          <t xml:space="preserve">
</t>
        </r>
        <r>
          <rPr>
            <b/>
            <sz val="9"/>
            <color indexed="81"/>
            <rFont val="Tahoma"/>
            <family val="2"/>
          </rPr>
          <t>Expansion of protected areas:</t>
        </r>
        <r>
          <rPr>
            <sz val="9"/>
            <color indexed="81"/>
            <rFont val="Tahoma"/>
            <family val="2"/>
          </rPr>
          <t xml:space="preserve">
This issue is constrained by two factors namely, the huge areas of land lease payments to land-owning communities covering a period of 5 decades and the apparent demand for farmland close to trunk
roads to facilitate the sale of farm products especially firewood. Population dynamics will eventually worsen the land hunger situation in the future</t>
        </r>
      </text>
    </comment>
    <comment ref="DG164" authorId="2">
      <text>
        <r>
          <rPr>
            <b/>
            <sz val="9"/>
            <color indexed="81"/>
            <rFont val="Tahoma"/>
            <family val="2"/>
          </rPr>
          <t>Billy Tsekos:</t>
        </r>
        <r>
          <rPr>
            <sz val="9"/>
            <color indexed="81"/>
            <rFont val="Tahoma"/>
            <family val="2"/>
          </rPr>
          <t xml:space="preserve">
 this INDC intends to maintain the emission levels of Sierra Leone relatively Low (close to the world average of 7.58 MtCO2e) by 2035 or neutral by 2050 by reducing her carbon footprint and by following green growth pathways in all economic sectors. 
No specific mention of afolu</t>
        </r>
      </text>
    </comment>
    <comment ref="DK164" authorId="2">
      <text>
        <r>
          <rPr>
            <b/>
            <sz val="9"/>
            <color indexed="81"/>
            <rFont val="Tahoma"/>
            <family val="2"/>
          </rPr>
          <t xml:space="preserve">Billy Tsekos:
Strategy 7: </t>
        </r>
        <r>
          <rPr>
            <sz val="9"/>
            <color indexed="81"/>
            <rFont val="Tahoma"/>
            <family val="2"/>
          </rPr>
          <t>Adoption and application of climate-smart and conservation agriculture through best agricultural practices that enhance soil fertility and improve crop yield</t>
        </r>
        <r>
          <rPr>
            <b/>
            <sz val="9"/>
            <color indexed="81"/>
            <rFont val="Tahoma"/>
            <family val="2"/>
          </rPr>
          <t xml:space="preserve">
</t>
        </r>
        <r>
          <rPr>
            <sz val="9"/>
            <color indexed="81"/>
            <rFont val="Tahoma"/>
            <family val="2"/>
          </rPr>
          <t xml:space="preserve">
</t>
        </r>
        <r>
          <rPr>
            <b/>
            <sz val="9"/>
            <color indexed="81"/>
            <rFont val="Tahoma"/>
            <family val="2"/>
          </rPr>
          <t xml:space="preserve">Contribution by land sector emissions </t>
        </r>
        <r>
          <rPr>
            <sz val="9"/>
            <color indexed="81"/>
            <rFont val="Tahoma"/>
            <family val="2"/>
          </rPr>
          <t xml:space="preserve">
This includes emissions from the land use, land use change and forestry (LULUCF) sector. Relevant national policy documents and the FAO's Global Forest Resource Assessment 2010 for Agency Sierra Leone were used. A global land -use data approach was used, as described in the 2003 IPCC Good Practice Guidance for LULUCF. A state and transition model consistent with the 1996 Revised IPCC Guidelines was used to calculate fluxes of CO2 to (or from)the atmosphere and biomass carbon pools is the same as outlined in the1996 Revised IPCC Guidelines. There is significant uncertainty in the BAU emission and mitigation potential estimates for this sector and work is underway to update and improve these estimates.
</t>
        </r>
      </text>
    </comment>
    <comment ref="DL164" authorId="2">
      <text>
        <r>
          <rPr>
            <b/>
            <sz val="9"/>
            <color indexed="81"/>
            <rFont val="Tahoma"/>
            <family val="2"/>
          </rPr>
          <t>Billy Tsekos:</t>
        </r>
        <r>
          <rPr>
            <sz val="9"/>
            <color indexed="81"/>
            <rFont val="Tahoma"/>
            <family val="2"/>
          </rPr>
          <t xml:space="preserve">
</t>
        </r>
        <r>
          <rPr>
            <b/>
            <sz val="9"/>
            <color indexed="81"/>
            <rFont val="Tahoma"/>
            <family val="2"/>
          </rPr>
          <t xml:space="preserve">Strategy 4: </t>
        </r>
        <r>
          <rPr>
            <sz val="9"/>
            <color indexed="81"/>
            <rFont val="Tahoma"/>
            <family val="2"/>
          </rPr>
          <t>Restoration of degraded lands with high production potential
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t>
        </r>
      </text>
    </comment>
    <comment ref="DM164" authorId="2">
      <text>
        <r>
          <rPr>
            <b/>
            <sz val="9"/>
            <color indexed="81"/>
            <rFont val="Tahoma"/>
            <family val="2"/>
          </rPr>
          <t>Billy Tsekos:</t>
        </r>
        <r>
          <rPr>
            <sz val="9"/>
            <color indexed="81"/>
            <rFont val="Tahoma"/>
            <family val="2"/>
          </rPr>
          <t xml:space="preserve">
4.765 (MtCO2e): 2015
</t>
        </r>
        <r>
          <rPr>
            <b/>
            <sz val="9"/>
            <color indexed="81"/>
            <rFont val="Tahoma"/>
            <family val="2"/>
          </rPr>
          <t xml:space="preserve">
P.4 - Table 2: </t>
        </r>
        <r>
          <rPr>
            <sz val="9"/>
            <color indexed="81"/>
            <rFont val="Tahoma"/>
            <family val="2"/>
          </rPr>
          <t>Projected GHG Emissions (MtCO2e) from Sierra Leone from 2015 to 2030</t>
        </r>
      </text>
    </comment>
    <comment ref="DN164" authorId="2">
      <text>
        <r>
          <rPr>
            <b/>
            <sz val="9"/>
            <color indexed="81"/>
            <rFont val="Tahoma"/>
            <family val="2"/>
          </rPr>
          <t>Billy Tsekos:</t>
        </r>
        <r>
          <rPr>
            <sz val="9"/>
            <color indexed="81"/>
            <rFont val="Tahoma"/>
            <family val="2"/>
          </rPr>
          <t xml:space="preserve">
The Land Use, Land Use Change and forestry (LULUCF) sector was the least significant source of CO2 emissions by up taking 752,748Gg of CO2</t>
        </r>
      </text>
    </comment>
    <comment ref="DO164" authorId="2">
      <text>
        <r>
          <rPr>
            <b/>
            <sz val="9"/>
            <color indexed="81"/>
            <rFont val="Tahoma"/>
            <family val="2"/>
          </rPr>
          <t>Billy Tsekos:</t>
        </r>
        <r>
          <rPr>
            <sz val="9"/>
            <color indexed="81"/>
            <rFont val="Tahoma"/>
            <family val="2"/>
          </rPr>
          <t xml:space="preserve">
44.2% agriculture</t>
        </r>
      </text>
    </comment>
    <comment ref="EH164" authorId="0">
      <text>
        <r>
          <rPr>
            <sz val="9"/>
            <color indexed="81"/>
            <rFont val="Tahoma"/>
            <family val="2"/>
          </rPr>
          <t>Bonn challenge
Comitment = 2 million hectares 
Carbon sequestered= 0.19 GtCO2
economic benefit = 628 million USD
Rwanda has pledged two million hectares of land – nearly three quarters of its land area - to the Bonn Challenge goal to restore 150 million hectares of the world’s degraded lands by 2020.
Assessing Rwanda's Restoration Opportunity
https://www.iucn.org/about/work/programmes/forest/fp_our_work/fp_our_work_thematic/fp_our_work_flr/flr__projects_partnership/our_restoration_knowledge_products/assessing_rwanda_s_restoration_opportunity/</t>
        </r>
      </text>
    </comment>
    <comment ref="ER164" authorId="0">
      <text>
        <r>
          <rPr>
            <sz val="9"/>
            <color indexed="81"/>
            <rFont val="Tahoma"/>
            <family val="2"/>
          </rPr>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r>
      </text>
    </comment>
    <comment ref="ET164" authorId="0">
      <text>
        <r>
          <rPr>
            <sz val="9"/>
            <color indexed="81"/>
            <rFont val="Tahoma"/>
            <family val="2"/>
          </rPr>
          <t xml:space="preserve">National Target 14: By 2020, 30% of the country is covered by forests hence increasing carbon stocks and contributing to climate change mitigation and adaptation. </t>
        </r>
      </text>
    </comment>
    <comment ref="W165" authorId="1">
      <text>
        <r>
          <rPr>
            <b/>
            <sz val="9"/>
            <color indexed="81"/>
            <rFont val="Tahoma"/>
            <family val="2"/>
          </rPr>
          <t>billy.tsekos:</t>
        </r>
        <r>
          <rPr>
            <sz val="9"/>
            <color indexed="81"/>
            <rFont val="Tahoma"/>
            <family val="2"/>
          </rPr>
          <t xml:space="preserve">
Singapore had in 2009 pledged unconditionally to reduce emissions to 7% to 11% below its
business-as-usual (BAU) level by 2020. Contingent on the conclusion of a universal legally binding agreement in 2015, Singapore will further reduce emissions to BAU-16% by 2020. As a result of continued mitigation efforts, Singapore’s emissions are expected to grow at a lower rate compared to GDP growth for 2005-2020. For the 2021-2030 period, Singapore intends to build on its previous mitigation efforts to stabilise its emissions with the aim of peaking around 2030. In 2012, Singapore’s Emissions Intensity (EI) ranked favourably at 113 out of 140 countries despite Singapore’s limitations in using alternative energy. Singapore’s EI is projected to decline further by around 2.5% annually from 2021-2030, compared to the already planned reduction of around 1.5% annually from 2005-2020</t>
        </r>
      </text>
    </comment>
    <comment ref="BA165"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 xml:space="preserve">Singapore’s NBSAP is currently undergoing review and national targets are being developed, possibly to be completed before the end of 2015. In addition, NParks’ Nature Conservation Master Plan is intended to support the implementation of Singapore’s NBSAP.
</t>
        </r>
        <r>
          <rPr>
            <b/>
            <sz val="9"/>
            <color indexed="81"/>
            <rFont val="Tahoma"/>
            <family val="2"/>
          </rPr>
          <t>2009 Strategy 1 - Safeguard Our Biodiversity</t>
        </r>
        <r>
          <rPr>
            <sz val="9"/>
            <color indexed="81"/>
            <rFont val="Tahoma"/>
            <family val="2"/>
          </rPr>
          <t xml:space="preserve">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r>
      </text>
    </comment>
    <comment ref="BH165"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Strategy 1: Safeguard our biodiversity
</t>
        </r>
        <r>
          <rPr>
            <b/>
            <sz val="9"/>
            <color indexed="81"/>
            <rFont val="Tahoma"/>
            <family val="2"/>
          </rPr>
          <t>Actions:</t>
        </r>
        <r>
          <rPr>
            <sz val="9"/>
            <color indexed="81"/>
            <rFont val="Tahoma"/>
            <family val="2"/>
          </rPr>
          <t xml:space="preserve">
 Extend green corridors to counter fragmentation
</t>
        </r>
      </text>
    </comment>
    <comment ref="BI165"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r>
      </text>
    </comment>
    <comment ref="BL165" authorId="1">
      <text>
        <r>
          <rPr>
            <b/>
            <sz val="9"/>
            <color indexed="81"/>
            <rFont val="Tahoma"/>
            <family val="2"/>
          </rPr>
          <t>billy.tsekos:</t>
        </r>
        <r>
          <rPr>
            <sz val="9"/>
            <color indexed="81"/>
            <rFont val="Tahoma"/>
            <family val="2"/>
          </rPr>
          <t xml:space="preserve">
</t>
        </r>
        <r>
          <rPr>
            <b/>
            <sz val="9"/>
            <color indexed="81"/>
            <rFont val="Tahoma"/>
            <family val="2"/>
          </rPr>
          <t xml:space="preserve">NR-P.45: </t>
        </r>
        <r>
          <rPr>
            <sz val="9"/>
            <color indexed="81"/>
            <rFont val="Tahoma"/>
            <family val="2"/>
          </rPr>
          <t>Singapore has been a member to the “Agreement between the Governments of the Member States of ASEAN and the Republic of Korea on Forest Cooperation” or AFoCo Agreement since it entered into force in August 2012. The two-year agreement was extended in August 2014 for a further two years. The main focus of this agreement is to facilitate forest-related cooperative projects among AMS and the Republic of Korea in the context of reducing deforestation, forest degradation as well as the sustainable management of forests. NParks, through the National Biodiversity Centre (NBC),serves as the focal and implementing agency for Singapore for any activities under this agreement.</t>
        </r>
      </text>
    </comment>
    <comment ref="BP165" authorId="1">
      <text>
        <r>
          <rPr>
            <b/>
            <sz val="9"/>
            <color indexed="81"/>
            <rFont val="Tahoma"/>
            <family val="2"/>
          </rPr>
          <t>billy.tsekos:</t>
        </r>
        <r>
          <rPr>
            <sz val="9"/>
            <color indexed="81"/>
            <rFont val="Tahoma"/>
            <family val="2"/>
          </rPr>
          <t xml:space="preserve">
</t>
        </r>
        <r>
          <rPr>
            <b/>
            <sz val="9"/>
            <color indexed="81"/>
            <rFont val="Tahoma"/>
            <family val="2"/>
          </rPr>
          <t>NR-P.58:</t>
        </r>
        <r>
          <rPr>
            <sz val="9"/>
            <color indexed="81"/>
            <rFont val="Tahoma"/>
            <family val="2"/>
          </rPr>
          <t xml:space="preserve">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
</t>
        </r>
        <r>
          <rPr>
            <b/>
            <sz val="9"/>
            <color indexed="81"/>
            <rFont val="Tahoma"/>
            <family val="2"/>
          </rPr>
          <t xml:space="preserve">NR-P.25: </t>
        </r>
        <r>
          <rPr>
            <sz val="9"/>
            <color indexed="81"/>
            <rFont val="Tahoma"/>
            <family val="2"/>
          </rPr>
          <t>Pulau Ubin is the second largest island off mainland Singapore, recognising the importance of protecting the biodiversity at Pulau Ubin, the government started the Ubin Project in 2014 to consult citizens on ways to retain the rustic and natural character of the island for future generations to experience:
- Mangrove restoration is part of the project:
The Restore Ubin Mangroves (RUM) group will be piloting a restoration project at the south-eastern part of Pulau Ubin. RUM is a ground-up initiative supported by NParks.</t>
        </r>
      </text>
    </comment>
    <comment ref="BX165" authorId="1">
      <text>
        <r>
          <rPr>
            <b/>
            <sz val="9"/>
            <color indexed="81"/>
            <rFont val="Tahoma"/>
            <family val="2"/>
          </rPr>
          <t>billy.tsekos:</t>
        </r>
        <r>
          <rPr>
            <sz val="9"/>
            <color indexed="81"/>
            <rFont val="Tahoma"/>
            <family val="2"/>
          </rPr>
          <t xml:space="preserve">
</t>
        </r>
        <r>
          <rPr>
            <b/>
            <sz val="9"/>
            <color indexed="81"/>
            <rFont val="Tahoma"/>
            <family val="2"/>
          </rPr>
          <t>NR-P.10:</t>
        </r>
        <r>
          <rPr>
            <sz val="9"/>
            <color indexed="81"/>
            <rFont val="Tahoma"/>
            <family val="2"/>
          </rPr>
          <t xml:space="preserve">
* Modification to waterbodies
* Land reclamation
* Shipping
* Invasive alien species (IAS) or non-native species
* Harmful algal blooms
*Human-wildlife conflict</t>
        </r>
      </text>
    </comment>
    <comment ref="CQ165" authorId="1">
      <text>
        <r>
          <rPr>
            <b/>
            <sz val="9"/>
            <color indexed="81"/>
            <rFont val="Tahoma"/>
            <family val="2"/>
          </rPr>
          <t>billy.tsekos:</t>
        </r>
        <r>
          <rPr>
            <sz val="9"/>
            <color indexed="81"/>
            <rFont val="Tahoma"/>
            <family val="2"/>
          </rPr>
          <t xml:space="preserve">
</t>
        </r>
      </text>
    </comment>
    <comment ref="DM165" authorId="1">
      <text>
        <r>
          <rPr>
            <b/>
            <sz val="9"/>
            <color indexed="81"/>
            <rFont val="Tahoma"/>
            <family val="2"/>
          </rPr>
          <t>billy.tsekos:</t>
        </r>
        <r>
          <rPr>
            <sz val="9"/>
            <color indexed="81"/>
            <rFont val="Tahoma"/>
            <family val="2"/>
          </rPr>
          <t xml:space="preserve">
</t>
        </r>
        <r>
          <rPr>
            <b/>
            <sz val="9"/>
            <color indexed="81"/>
            <rFont val="Tahoma"/>
            <family val="2"/>
          </rPr>
          <t>GHG emissions (2005):</t>
        </r>
        <r>
          <rPr>
            <sz val="9"/>
            <color indexed="81"/>
            <rFont val="Tahoma"/>
            <family val="2"/>
          </rPr>
          <t xml:space="preserve"> 40.9MTCO2e</t>
        </r>
      </text>
    </comment>
    <comment ref="ER165" authorId="0">
      <text>
        <r>
          <rPr>
            <sz val="9"/>
            <color indexed="81"/>
            <rFont val="Tahoma"/>
            <family val="2"/>
          </rPr>
          <t xml:space="preserve">Target: By 2020, the status of biodiversity has improved by safeguarding ecosystems, species and genetic diversity in the 30 declared protected areas </t>
        </r>
      </text>
    </comment>
    <comment ref="BA166" authorId="0">
      <text>
        <r>
          <rPr>
            <sz val="9"/>
            <color indexed="81"/>
            <rFont val="Tahoma"/>
            <family val="2"/>
          </rPr>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r>
      </text>
    </comment>
    <comment ref="ET166" authorId="0">
      <text>
        <r>
          <rPr>
            <sz val="9"/>
            <color indexed="81"/>
            <rFont val="Tahoma"/>
            <family val="2"/>
          </rPr>
          <t xml:space="preserve">(P. 31) Goal 2: To generate benefits for all citizens from biodiversity and ecosystem services for improved human well being </t>
        </r>
      </text>
    </comment>
    <comment ref="AV167" authorId="2">
      <text>
        <r>
          <rPr>
            <b/>
            <sz val="9"/>
            <color indexed="81"/>
            <rFont val="Tahoma"/>
            <family val="2"/>
          </rPr>
          <t>Billy Tsekos:</t>
        </r>
        <r>
          <rPr>
            <sz val="9"/>
            <color indexed="81"/>
            <rFont val="Tahoma"/>
            <family val="2"/>
          </rPr>
          <t xml:space="preserve">
</t>
        </r>
        <r>
          <rPr>
            <b/>
            <sz val="9"/>
            <color indexed="81"/>
            <rFont val="Tahoma"/>
            <family val="2"/>
          </rPr>
          <t>NR-P.19: T</t>
        </r>
        <r>
          <rPr>
            <sz val="9"/>
            <color indexed="81"/>
            <rFont val="Tahoma"/>
            <family val="2"/>
          </rPr>
          <t>he comparison of reports for 2007 and 2013 shows that the majority of changes to the status of habitat types were for the worse, very rarely did the status improved</t>
        </r>
      </text>
    </comment>
    <comment ref="BA167" authorId="2">
      <text>
        <r>
          <rPr>
            <b/>
            <sz val="9"/>
            <color indexed="81"/>
            <rFont val="Tahoma"/>
            <family val="2"/>
          </rPr>
          <t>Billy Tsekos:</t>
        </r>
        <r>
          <rPr>
            <sz val="9"/>
            <color indexed="81"/>
            <rFont val="Tahoma"/>
            <family val="2"/>
          </rPr>
          <t xml:space="preserve">
By 2025, the status of habitat types and species, including their genetic diversity will improve and/or will be maintained.</t>
        </r>
      </text>
    </comment>
    <comment ref="BD167" authorId="2">
      <text>
        <r>
          <rPr>
            <b/>
            <sz val="9"/>
            <color indexed="81"/>
            <rFont val="Tahoma"/>
            <family val="2"/>
          </rPr>
          <t>Billy Tsekos:</t>
        </r>
        <r>
          <rPr>
            <sz val="9"/>
            <color indexed="81"/>
            <rFont val="Tahoma"/>
            <family val="2"/>
          </rPr>
          <t xml:space="preserve">
2025</t>
        </r>
      </text>
    </comment>
    <comment ref="BH167" authorId="2">
      <text>
        <r>
          <rPr>
            <b/>
            <sz val="9"/>
            <color indexed="81"/>
            <rFont val="Tahoma"/>
            <family val="2"/>
          </rPr>
          <t>Billy Tsekos:</t>
        </r>
        <r>
          <rPr>
            <sz val="9"/>
            <color indexed="81"/>
            <rFont val="Tahoma"/>
            <family val="2"/>
          </rPr>
          <t xml:space="preserve">
</t>
        </r>
        <r>
          <rPr>
            <b/>
            <sz val="9"/>
            <color indexed="81"/>
            <rFont val="Tahoma"/>
            <family val="2"/>
          </rPr>
          <t xml:space="preserve">NR-P.86: </t>
        </r>
        <r>
          <rPr>
            <sz val="9"/>
            <color indexed="81"/>
            <rFont val="Tahoma"/>
            <family val="2"/>
          </rPr>
          <t>The fragmentation and transformation of natural habitats continued in the reporting period in Slovenia. The situation is the worst for inland freshwater habitat types, of which only slightly more than 10% have a favourable status. Grassland habitat types follow, of which slightly fewer than 30% have a favourable status. Over 45% of bog and marsh habitat types have an inadequate status and approximately 15% have a bad status. Almost 60% of forest habitats also have an inadequate status. The new Natura 2000 Site Management Programme (2015–2020) adopted by the Government in April 2015 is designed so as to facilitate the achievement of this target if it is implemented properly. The first proposed overall national target of the updated Biodiversity Conservation Strategy reads as follows: To improve the conservation status of species and their habitats</t>
        </r>
      </text>
    </comment>
    <comment ref="BL167" authorId="2">
      <text>
        <r>
          <rPr>
            <b/>
            <sz val="9"/>
            <color indexed="81"/>
            <rFont val="Tahoma"/>
            <family val="2"/>
          </rPr>
          <t>Billy Tsekos:</t>
        </r>
        <r>
          <rPr>
            <sz val="9"/>
            <color indexed="81"/>
            <rFont val="Tahoma"/>
            <family val="2"/>
          </rPr>
          <t xml:space="preserve">
</t>
        </r>
        <r>
          <rPr>
            <b/>
            <sz val="9"/>
            <color indexed="81"/>
            <rFont val="Tahoma"/>
            <family val="2"/>
          </rPr>
          <t>NR-P.67:</t>
        </r>
        <r>
          <rPr>
            <sz val="9"/>
            <color indexed="81"/>
            <rFont val="Tahoma"/>
            <family val="2"/>
          </rPr>
          <t xml:space="preserve"> Forest management is regulated by the Forest Act and the National Forest Programme, which provide for conditions for multi-purpose forest management in accordance with the protection of the environment and natural assets and for the monitoring of the status of forests as ecosystems. The provisions of the Forest Act facilitate the achievement of the following objectives set in the National Forest Development Programme:
 to ensure forest conservation and the sustainable development of forests in terms of their biodiversity and all ecological, social and production functions;
 to preserve the natural environment and ecological balance in the landscape;
 to maintain the level of pop</t>
        </r>
      </text>
    </comment>
    <comment ref="BP167"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 xml:space="preserve">In the Operational Programme for the Implementation of the EU Cohesion Policy 2014–202059, a special priority investment is dedicated to the protection and restoration of biodiversity and soil and the promotion of ecosystem services, including the Natura 2000 network and green infrastructure. 
</t>
        </r>
      </text>
    </comment>
    <comment ref="BX167" authorId="2">
      <text>
        <r>
          <rPr>
            <b/>
            <sz val="9"/>
            <color indexed="81"/>
            <rFont val="Tahoma"/>
            <family val="2"/>
          </rPr>
          <t xml:space="preserve">Billy Tsekos:
NR-P.7
</t>
        </r>
        <r>
          <rPr>
            <sz val="9"/>
            <color indexed="81"/>
            <rFont val="Tahoma"/>
            <family val="2"/>
          </rPr>
          <t xml:space="preserve">
</t>
        </r>
        <r>
          <rPr>
            <b/>
            <sz val="9"/>
            <color indexed="81"/>
            <rFont val="Tahoma"/>
            <family val="2"/>
          </rPr>
          <t xml:space="preserve">NR-P.73: </t>
        </r>
        <r>
          <rPr>
            <sz val="9"/>
            <color indexed="81"/>
            <rFont val="Tahoma"/>
            <family val="2"/>
          </rPr>
          <t xml:space="preserve">Many biodiversity conservation measures have been implemented. However, they were not able to stop the deterioration as regards the habitat and species conservation status due to the increased pressures stemming from human activity. The main reason for the unfavourable species conservation status is habitat loss caused by unsustainable management and other human activities affecting the environment. Grassland habitats and wetlands in the lowland areas experienced the greatest pressures. The changes in agricultural policy and the pursuit of the best economic effects are reflected in the abandonment of less attractive agricultural land and the intensification of more productive agricultural land. In the areas where land consolidation has been carried out, landscape diversity is diminishing; landscape elements are disappearing, which leads to the degradation of the diversity of habitats and species. However, this issue was regulated by the amendment to the Decree on special protection areas, which introduced the environmental impact assessment requirement. Pressures due to the expansion of settled areas and the construction of industrial zones and roads have increased considerably. </t>
        </r>
      </text>
    </comment>
    <comment ref="CC167" authorId="2">
      <text>
        <r>
          <rPr>
            <b/>
            <sz val="9"/>
            <color indexed="81"/>
            <rFont val="Tahoma"/>
            <family val="2"/>
          </rPr>
          <t>Billy Tsekos:</t>
        </r>
        <r>
          <rPr>
            <sz val="9"/>
            <color indexed="81"/>
            <rFont val="Tahoma"/>
            <family val="2"/>
          </rPr>
          <t xml:space="preserve">
</t>
        </r>
        <r>
          <rPr>
            <b/>
            <sz val="9"/>
            <color indexed="81"/>
            <rFont val="Tahoma"/>
            <family val="2"/>
          </rPr>
          <t>NR-P.73</t>
        </r>
        <r>
          <rPr>
            <sz val="9"/>
            <color indexed="81"/>
            <rFont val="Tahoma"/>
            <family val="2"/>
          </rPr>
          <t xml:space="preserve">: Many biodiversity conservation measures have been implemented. However, they were not able to stop the deterioration as regards the habitat and species conservation status due to the increased pressures stemming from human activity. The main reason for the unfavourable species conservation status is habitat loss caused by unsustainable management and other human activities affecting the environment. Grassland habitats and wetlands in the lowland areas experienced the greatest pressures. The changes in agricultural policy and the pursuit of the best economic effects are reflected in the abandonment of less attractive agricultural land and the intensification of more productive agricultural land. In the areas where land consolidation has been carried out, landscape diversity is diminishing; landscape elements are disappearing, which leads to the degradation of the diversity of habitats and species. </t>
        </r>
        <r>
          <rPr>
            <b/>
            <sz val="9"/>
            <color indexed="81"/>
            <rFont val="Tahoma"/>
            <family val="2"/>
          </rPr>
          <t xml:space="preserve">However, this issue was regulated by the amendment to the Decree on special protection areas, which introduced the environmental impact assessment requirement. Pressures due to the expansion of settled areas and the construction of industrial zones and roads have increased considerably. </t>
        </r>
      </text>
    </comment>
    <comment ref="CQ167"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 xml:space="preserve">The financing of measures for biodiversity conservation in the forest environment is also provided for in the LIFE programme, which supports nature conservation, adaptation to climate change and information  requirements. 
</t>
        </r>
        <r>
          <rPr>
            <b/>
            <sz val="9"/>
            <color indexed="81"/>
            <rFont val="Tahoma"/>
            <family val="2"/>
          </rPr>
          <t>NR-P.47:</t>
        </r>
        <r>
          <rPr>
            <sz val="9"/>
            <color indexed="81"/>
            <rFont val="Tahoma"/>
            <family val="2"/>
          </rPr>
          <t xml:space="preserve"> To adequately integrate biodiversity conservation in spatial planning documents and into the procedures for drawing up spatial planning and implementing acts (e.g. vulnerability studies, comprehensive environmental impact assessments and environmental impact assessments), in particular in protected and internationally important areas.
</t>
        </r>
      </text>
    </comment>
    <comment ref="CW167" authorId="2">
      <text>
        <r>
          <rPr>
            <b/>
            <sz val="9"/>
            <color indexed="81"/>
            <rFont val="Tahoma"/>
            <family val="2"/>
          </rPr>
          <t>Billy Tsekos:</t>
        </r>
        <r>
          <rPr>
            <sz val="9"/>
            <color indexed="81"/>
            <rFont val="Tahoma"/>
            <family val="2"/>
          </rPr>
          <t xml:space="preserve">
</t>
        </r>
        <r>
          <rPr>
            <b/>
            <sz val="9"/>
            <color indexed="81"/>
            <rFont val="Tahoma"/>
            <family val="2"/>
          </rPr>
          <t>NR-P.65:</t>
        </r>
        <r>
          <rPr>
            <sz val="9"/>
            <color indexed="81"/>
            <rFont val="Tahoma"/>
            <family val="2"/>
          </rPr>
          <t xml:space="preserve"> In 2004, Slovenia established a network of Natura 2000 sites, which, following a slight increase in 2013, covers 37% of the country's territory. </t>
        </r>
      </text>
    </comment>
    <comment ref="BA169" authorId="0">
      <text>
        <r>
          <rPr>
            <sz val="9"/>
            <color indexed="81"/>
            <rFont val="Tahoma"/>
            <family val="2"/>
          </rPr>
          <t xml:space="preserve">(P. 60) The target is rate of loss and degradation of
natural habitats decreased. 
</t>
        </r>
      </text>
    </comment>
    <comment ref="BI169" authorId="0">
      <text>
        <r>
          <rPr>
            <sz val="9"/>
            <color indexed="81"/>
            <rFont val="Tahoma"/>
            <family val="2"/>
          </rPr>
          <t xml:space="preserve">(P. 60) The targets are Maintain and enhance resilience of the components of biodiversity to adapt to climate change; and Reduce pollution and its impacts on biodiversity. 
</t>
        </r>
      </text>
    </comment>
    <comment ref="BA170" authorId="0">
      <text>
        <r>
          <rPr>
            <sz val="9"/>
            <color indexed="81"/>
            <rFont val="Tahoma"/>
            <family val="2"/>
          </rPr>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r>
      </text>
    </comment>
    <comment ref="BI170" authorId="0">
      <text>
        <r>
          <rPr>
            <sz val="9"/>
            <color indexed="81"/>
            <rFont val="Tahoma"/>
            <family val="2"/>
          </rPr>
          <t xml:space="preserve">5 NR- P.74 - Relevant national 5-year target(s) from NBF 2008. (table)
* National programme dealing with ecosystem adaptation to climate change has been
developed and is accepted by all stakeholders.
</t>
        </r>
      </text>
    </comment>
    <comment ref="Z172" authorId="6">
      <text>
        <r>
          <rPr>
            <b/>
            <sz val="9"/>
            <color indexed="81"/>
            <rFont val="Tahoma"/>
            <family val="2"/>
          </rPr>
          <t>Daniel:</t>
        </r>
        <r>
          <rPr>
            <sz val="9"/>
            <color indexed="81"/>
            <rFont val="Tahoma"/>
            <family val="2"/>
          </rPr>
          <t xml:space="preserve">
Pg. 13 of the QUINTO INFORME NACIONAL SOBRE LA
DIVERSIDAD BIOLÓGICA - Complete chart</t>
        </r>
      </text>
    </comment>
    <comment ref="BA172" authorId="0">
      <text>
        <r>
          <rPr>
            <sz val="9"/>
            <color indexed="81"/>
            <rFont val="Tahoma"/>
            <family val="2"/>
          </rPr>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r>
      </text>
    </comment>
    <comment ref="BH172" authorId="6">
      <text>
        <r>
          <rPr>
            <b/>
            <sz val="9"/>
            <color indexed="81"/>
            <rFont val="Tahoma"/>
            <family val="2"/>
          </rPr>
          <t xml:space="preserve">Daniel: P.58 -QUINTO INFORME NACIONAL SOBRE LA
DIVERSIDAD BIOLÓGICA </t>
        </r>
        <r>
          <rPr>
            <sz val="9"/>
            <color indexed="81"/>
            <rFont val="Tahoma"/>
            <family val="2"/>
          </rPr>
          <t xml:space="preserve">
(...)Teniendo en cuenta que uno de los principales inductores de la fragmentación de los hábitats son las
infraestructuras de transporte, está constituido un Grupo de Trabajo sobre fragmentación de hábitats causada por estas infraestructuras con el objeto de abordar esta problemática. Este grupo de trabajo, dependiente de la Comisión Estatal para el Patrimonio Natural y la Biodiversidad, integra representantes de
las administraciones de transporte, de medio natural y de evaluación de impacto ambiental de las comunidades autónomas y del Estado. El grupo de trabajo ha elaborado las Prescripciones técnicas para el diseño de pasos de fauna y vallados perimetrales, las Prescripciones técnicas para el seguimiento y
evaluación de la efectividad de las medidas correctoras del efecto barrera de las infraestructuras de
transporte, las Prescripciones Técnicas para la reducción de la fragmentación de hábitats en las fases de
planificación y trazado y las Orientaciones para reducir los efectos de las carreteras y ferrocarriles enfuncionamiento</t>
        </r>
      </text>
    </comment>
    <comment ref="BK172" authorId="6">
      <text>
        <r>
          <rPr>
            <b/>
            <sz val="9"/>
            <color indexed="81"/>
            <rFont val="Tahoma"/>
            <family val="2"/>
          </rPr>
          <t>Daniel:</t>
        </r>
        <r>
          <rPr>
            <sz val="9"/>
            <color indexed="81"/>
            <rFont val="Tahoma"/>
            <family val="2"/>
          </rPr>
          <t xml:space="preserve">
2020</t>
        </r>
      </text>
    </comment>
    <comment ref="BX172" authorId="6">
      <text>
        <r>
          <rPr>
            <b/>
            <sz val="9"/>
            <color indexed="81"/>
            <rFont val="Tahoma"/>
            <family val="2"/>
          </rPr>
          <t>Daniel:</t>
        </r>
        <r>
          <rPr>
            <sz val="9"/>
            <color indexed="81"/>
            <rFont val="Tahoma"/>
            <family val="2"/>
          </rPr>
          <t xml:space="preserve">
NR-P.30 -(..) Existen múltiples amenazas directas e indirectas que afectan negativamente a la biodiversidad, entre las
que se incluyen la pérdida y degradación de hábitats, la sobreexplotación de recursos, la pérdida de
variabilidad genética, la contaminación ambiental, la introducción de especies exóticas invasoras, los
efectos del cambio climático y los procesos de desertificación que tienen en España una gran importancia,
estando un 45% del territorio sometido a procesos moderados o fuertes de desertificación105
.
Estas amenazas tienen distintos efectos e importancia en los diversos ecosistemas o sobre las distintas
especies y en algunos casos actúan de forma sinérgica causando efectos muy negativos para la
conservación de la biodiversidad.
Las principales amenazas sobre las especies se recogen en los Atlas y Libros Rojos de la flora y fauna
española
.
Así, por ejemplo, los ecosistemas forestales sufren múltiples amenazas: destrucción y fragmentación de
hábitats, contaminación ambiental, cambio climático y eventos climáticos extremos, sobreexplotación de
recursos, incendios forestales y deforestación, competencia con especies y variedades introducidas, etc. La
explotación forestal puede tener efectos negativos para los hábitats y las especies de los bosques, si no se
lleva a cabo con las medidas adecuadas para salvaguardar los requerimientos ecológicos de dichos hábitats
y especies (...)</t>
        </r>
      </text>
    </comment>
    <comment ref="CC172" authorId="6">
      <text>
        <r>
          <rPr>
            <b/>
            <sz val="9"/>
            <color indexed="81"/>
            <rFont val="Tahoma"/>
            <family val="2"/>
          </rPr>
          <t>Daniel:</t>
        </r>
        <r>
          <rPr>
            <sz val="9"/>
            <color indexed="81"/>
            <rFont val="Tahoma"/>
            <family val="2"/>
          </rPr>
          <t xml:space="preserve">
National Biodiversity Strategy and Action Plan (v.3) ---&gt; P. 135 -&gt; 9 Actions --&gt; META 2. PROTEGER, CONSERVAR Y RESTAURAR LA NATURALEZA EN ESPAÑA
Y REDUCIR SUS PRINCIPALES AMENAZAS</t>
        </r>
      </text>
    </comment>
    <comment ref="CH172" authorId="6">
      <text>
        <r>
          <rPr>
            <b/>
            <sz val="9"/>
            <color indexed="81"/>
            <rFont val="Tahoma"/>
            <family val="2"/>
          </rPr>
          <t>Daniel:</t>
        </r>
        <r>
          <rPr>
            <sz val="9"/>
            <color indexed="81"/>
            <rFont val="Tahoma"/>
            <family val="2"/>
          </rPr>
          <t xml:space="preserve">
Pag. 106 - National Biodiversity Strategy and Action Plan (v.3)</t>
        </r>
      </text>
    </comment>
    <comment ref="CP172" authorId="6">
      <text>
        <r>
          <rPr>
            <b/>
            <sz val="9"/>
            <color indexed="81"/>
            <rFont val="Tahoma"/>
            <family val="2"/>
          </rPr>
          <t>Daniel: National Biodiversity Strategy and Action Plan (v.3)</t>
        </r>
        <r>
          <rPr>
            <sz val="9"/>
            <color indexed="81"/>
            <rFont val="Tahoma"/>
            <family val="2"/>
          </rPr>
          <t xml:space="preserve">
p. 63 - La mejora de la calidad de las masas y el
aumento de su resiliencia, la disminución de la fragmentación y la conectividad
entre ellas suponen un importante reto para la gestión forestal. </t>
        </r>
      </text>
    </comment>
    <comment ref="CQ172" authorId="6">
      <text>
        <r>
          <rPr>
            <b/>
            <sz val="9"/>
            <color indexed="81"/>
            <rFont val="Tahoma"/>
            <family val="2"/>
          </rPr>
          <t>Daniel:</t>
        </r>
        <r>
          <rPr>
            <sz val="9"/>
            <color indexed="81"/>
            <rFont val="Tahoma"/>
            <family val="2"/>
          </rPr>
          <t xml:space="preserve">
http://www.magrama.gob.es/es/cambio-climatico/temas/impactos-vulnerabilidad-yadaptacion/2_informe_seguimiento_pnacc_tcm7-197096.pdf</t>
        </r>
      </text>
    </comment>
    <comment ref="CV172" authorId="6">
      <text>
        <r>
          <rPr>
            <b/>
            <sz val="9"/>
            <color indexed="81"/>
            <rFont val="Tahoma"/>
            <family val="2"/>
          </rPr>
          <t>Daniel:</t>
        </r>
        <r>
          <rPr>
            <sz val="9"/>
            <color indexed="81"/>
            <rFont val="Tahoma"/>
            <family val="2"/>
          </rPr>
          <t xml:space="preserve">
p.67 - National Biodiversity Strategy and Action Plan (v.3)
Ya existen relaciones entre el Convenio sobre Diversidad Biológica, el de Lucha
contra la Desertificación y el de Cambio Climático y se hace necesario fomentar
las sinergias entre estas líneas de trabajo para aumentar los conocimientos
básicos e impulsar buenas prácticas de gestión que respondan a las necesidades
detectadas.
La desertificación es uno de los principales problemas ambientales que sufre
España. Este proceso es definido por la Convención de las Naciones Unidas de
Lucha Contra la Desertificación122 como la “degradación de las tierras de zonas
áridas, semiáridas y subhúmedas secas resultante de diversos factores, tales
como las variaciones climáticas y las actividades humanas”.
La desertificación disminuye la productividad biológica y económica de los
suelos y lleva a la pérdida duradera de la cubierta vegetal, además, tiene
repercusiones negativas por ejemplo en la regulación del ciclo hidrológico, en la
salinización de los suelos, o en el deterioro de la calidad del agua.
En España un 18 % del territorio sufre un riesgo de desertificación alto o muy alto y un 19%
un riesgo medio, centrada principalmente en el sureste peninsular y Canarias. Este índice
se ha calculado dentro del Programa de Acción Nacional de Lucha contra la
Desertificación, elaborado como parte de los compromisos adquiridos por España en el
marco de la Convención de las Naciones Unidas de Lucha contra la Desertificación
</t>
        </r>
      </text>
    </comment>
    <comment ref="ER172" authorId="0">
      <text>
        <r>
          <rPr>
            <sz val="9"/>
            <color indexed="81"/>
            <rFont val="Tahoma"/>
            <family val="2"/>
          </rPr>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r>
      </text>
    </comment>
    <comment ref="ET172" authorId="0">
      <text>
        <r>
          <rPr>
            <sz val="9"/>
            <color indexed="81"/>
            <rFont val="Tahoma"/>
            <family val="2"/>
          </rPr>
          <t>(P.41) Target 2: Maintain and restore ecosystems and their services By 2020, ecosystems and their services are maintained and enhanced by establishing green infrastructure and restoring at least 15% of degraded ecosystems</t>
        </r>
      </text>
    </comment>
    <comment ref="W173" authorId="1">
      <text>
        <r>
          <rPr>
            <b/>
            <sz val="9"/>
            <color indexed="81"/>
            <rFont val="Tahoma"/>
            <family val="2"/>
          </rPr>
          <t>billy.tsekos:</t>
        </r>
        <r>
          <rPr>
            <sz val="9"/>
            <color indexed="81"/>
            <rFont val="Tahoma"/>
            <family val="2"/>
          </rPr>
          <t xml:space="preserve">
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
</t>
        </r>
        <r>
          <rPr>
            <b/>
            <sz val="9"/>
            <color indexed="81"/>
            <rFont val="Tahoma"/>
            <family val="2"/>
          </rPr>
          <t xml:space="preserve"> Biodiversity Sector INDCs:</t>
        </r>
        <r>
          <rPr>
            <sz val="9"/>
            <color indexed="81"/>
            <rFont val="Tahoma"/>
            <family val="2"/>
          </rPr>
          <t xml:space="preserve">
1. Restoration of degraded areas inside and outside the protected area network to enhance resilience. 
2. Increasing connectivity through corridors, landscape/matrix improvement and management.
3. Improve management, and consider increasing the extent of protected areas, buffer zones and create new areas in vulnerable zones. 
4. Identify biodiversity hotpots in Sri Lanka and upgrade them. the Dry Zone
5. Promotion of traditional methods of biodiversity conservation for increased resilience in ago ecosystems.
6. Implementation of  community driven conservation projects and programmes </t>
        </r>
      </text>
    </comment>
    <comment ref="Z173" authorId="1">
      <text>
        <r>
          <rPr>
            <b/>
            <sz val="9"/>
            <color indexed="81"/>
            <rFont val="Tahoma"/>
            <family val="2"/>
          </rPr>
          <t>billy.tsekos:</t>
        </r>
        <r>
          <rPr>
            <sz val="9"/>
            <color indexed="81"/>
            <rFont val="Tahoma"/>
            <family val="2"/>
          </rPr>
          <t xml:space="preserve">
</t>
        </r>
        <r>
          <rPr>
            <b/>
            <sz val="9"/>
            <color indexed="81"/>
            <rFont val="Tahoma"/>
            <family val="2"/>
          </rPr>
          <t xml:space="preserve">NR-P.24: </t>
        </r>
        <r>
          <rPr>
            <sz val="9"/>
            <color indexed="81"/>
            <rFont val="Tahoma"/>
            <family val="2"/>
          </rPr>
          <t xml:space="preserve">Overall, the total natural forest cover in the country has decreased from 31.2 % of the island in 1999 to 29.6% in 2010 (when savannah grasslands are considered this rises to 29.7%). The total forest loss is estimated as 48,900 ha from 1999-2010 which is approximately a loss of 0.23% of forest area, or 4,445 ha of forest loss, annually.26 This is a positive trend when compared with 40,000 ha of natural forest loss annually between 1956 and 1992 (MALF, 1995), and the predictions made in 1995 for a reduction of the 23.9% closed canopy natural forest cover in 1992 to about 17% in 2020 under a ‘business as usual scenario (MALF, 1995).
</t>
        </r>
        <r>
          <rPr>
            <b/>
            <sz val="9"/>
            <color indexed="81"/>
            <rFont val="Tahoma"/>
            <family val="2"/>
          </rPr>
          <t>Table 1.7: Comparison of forest cover in Sri Lanka in 1992, 1999 and 2010</t>
        </r>
      </text>
    </comment>
    <comment ref="AH173" authorId="1">
      <text>
        <r>
          <rPr>
            <b/>
            <sz val="9"/>
            <color indexed="81"/>
            <rFont val="Tahoma"/>
            <family val="2"/>
          </rPr>
          <t>billy.tsekos:</t>
        </r>
        <r>
          <rPr>
            <sz val="9"/>
            <color indexed="81"/>
            <rFont val="Tahoma"/>
            <family val="2"/>
          </rPr>
          <t xml:space="preserve">
</t>
        </r>
        <r>
          <rPr>
            <b/>
            <sz val="9"/>
            <color indexed="81"/>
            <rFont val="Tahoma"/>
            <family val="2"/>
          </rPr>
          <t>NR-P.24</t>
        </r>
        <r>
          <rPr>
            <sz val="9"/>
            <color indexed="81"/>
            <rFont val="Tahoma"/>
            <family val="2"/>
          </rPr>
          <t>:Table 1.7: Comparison of forest cover in Sri Lanka in 1992, 1999 and 2010</t>
        </r>
      </text>
    </comment>
    <comment ref="BA173" authorId="1">
      <text>
        <r>
          <rPr>
            <b/>
            <sz val="9"/>
            <color indexed="81"/>
            <rFont val="Tahoma"/>
            <family val="2"/>
          </rPr>
          <t>billy.tsekos:</t>
        </r>
        <r>
          <rPr>
            <sz val="9"/>
            <color indexed="81"/>
            <rFont val="Tahoma"/>
            <family val="2"/>
          </rPr>
          <t xml:space="preserve">
</t>
        </r>
        <r>
          <rPr>
            <b/>
            <sz val="9"/>
            <color indexed="81"/>
            <rFont val="Tahoma"/>
            <family val="2"/>
          </rPr>
          <t xml:space="preserve">NR-P.83: </t>
        </r>
        <r>
          <rPr>
            <sz val="9"/>
            <color indexed="81"/>
            <rFont val="Tahoma"/>
            <family val="2"/>
          </rPr>
          <t xml:space="preserve">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r>
      </text>
    </comment>
    <comment ref="BF173" authorId="3">
      <text>
        <r>
          <rPr>
            <b/>
            <sz val="10"/>
            <color indexed="81"/>
            <rFont val="Calibri"/>
          </rPr>
          <t>Microsoft Office User:</t>
        </r>
        <r>
          <rPr>
            <sz val="10"/>
            <color indexed="81"/>
            <rFont val="Calibri"/>
          </rPr>
          <t xml:space="preserve">
</t>
        </r>
      </text>
    </comment>
    <comment ref="BH173" authorId="1">
      <text>
        <r>
          <rPr>
            <b/>
            <sz val="9"/>
            <color indexed="81"/>
            <rFont val="Tahoma"/>
            <family val="2"/>
          </rPr>
          <t>billy.tsekos:</t>
        </r>
        <r>
          <rPr>
            <sz val="9"/>
            <color indexed="81"/>
            <rFont val="Tahoma"/>
            <family val="2"/>
          </rPr>
          <t xml:space="preserve">
</t>
        </r>
        <r>
          <rPr>
            <b/>
            <sz val="9"/>
            <color indexed="81"/>
            <rFont val="Tahoma"/>
            <family val="2"/>
          </rPr>
          <t>NR-P.xvii:</t>
        </r>
        <r>
          <rPr>
            <sz val="9"/>
            <color indexed="81"/>
            <rFont val="Tahoma"/>
            <family val="2"/>
          </rPr>
          <t xml:space="preserve">Habitat loss and fragmentation, degradation, spread of invasive alien species, pollution; over exploitation and climate change are now the most serious threats driving species loss in Sri Lanka
</t>
        </r>
        <r>
          <rPr>
            <b/>
            <sz val="9"/>
            <color indexed="81"/>
            <rFont val="Tahoma"/>
            <family val="2"/>
          </rPr>
          <t>NR-P.36:</t>
        </r>
        <r>
          <rPr>
            <sz val="9"/>
            <color indexed="81"/>
            <rFont val="Tahoma"/>
            <family val="2"/>
          </rPr>
          <t>Deforestation, fragmentation and degradation of forest habitats were the most serious threats which affected almost all groups [(i.e. dragonflies (van der Pooten and Coniff, 2012), bees (Dias, et al, 2012); butterflies (van der Pooten, 2012); freshwater crabs (Bahir and Gabadage, 2012), land snails (Ranaawana and Priyadarshana, 2012), freshwater fish (Goonatilleke, 2012);</t>
        </r>
      </text>
    </comment>
    <comment ref="BI173"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r>
      </text>
    </comment>
    <comment ref="BP173" authorId="1">
      <text>
        <r>
          <rPr>
            <b/>
            <sz val="9"/>
            <color indexed="81"/>
            <rFont val="Tahoma"/>
            <family val="2"/>
          </rPr>
          <t>billy.tsekos:</t>
        </r>
        <r>
          <rPr>
            <sz val="9"/>
            <color indexed="81"/>
            <rFont val="Tahoma"/>
            <family val="2"/>
          </rPr>
          <t xml:space="preserve">
</t>
        </r>
        <r>
          <rPr>
            <b/>
            <sz val="9"/>
            <color indexed="81"/>
            <rFont val="Tahoma"/>
            <family val="2"/>
          </rPr>
          <t>NR-P.95:</t>
        </r>
        <r>
          <rPr>
            <sz val="9"/>
            <color indexed="81"/>
            <rFont val="Tahoma"/>
            <family val="2"/>
          </rPr>
          <t xml:space="preserve">
* Sri Lanka is currently implementing the Sri Lanka UN-REDD Programme with the objective of building capacities to implement the REDD+ activities towards the end of the programme period.
* The annual forest restoration program of the Forest Department has intensified with government allocating special annual allocation of Rs.500 million (US $ 4 million) from 2014 onwards, towards the achievement of the national target  of 35 percent forest cover set by the Mahinda Chintana Vision for  the Future. Large extents of degraded forest areas (especially located in the Dry Zone) are expected to be restored primarily using assisted natural regeneration (ANR). 
* The Ministry of Environment and Renewable Energy is implementing a special program for the rehabilitation of mangrove areas by implementing replanting programs in  several locations. </t>
        </r>
      </text>
    </comment>
    <comment ref="BT173"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As loss and degradation of forests is a key threat to many species , increasing the island’s forest cover to 35% can be expected to have a beneficial impact on Sri Lanka’s biodiversity and forest ecosystem services if this target is reached. However, unless forest degradation is also stemmed, there would be continued negative impacts on many species that are dependent on forests for surviva</t>
        </r>
      </text>
    </comment>
    <comment ref="BX173" authorId="1">
      <text>
        <r>
          <rPr>
            <b/>
            <sz val="9"/>
            <color indexed="81"/>
            <rFont val="Tahoma"/>
            <family val="2"/>
          </rPr>
          <t>billy.tsekos:</t>
        </r>
        <r>
          <rPr>
            <sz val="9"/>
            <color indexed="81"/>
            <rFont val="Tahoma"/>
            <family val="2"/>
          </rPr>
          <t xml:space="preserve">
</t>
        </r>
        <r>
          <rPr>
            <b/>
            <sz val="9"/>
            <color indexed="81"/>
            <rFont val="Tahoma"/>
            <family val="2"/>
          </rPr>
          <t xml:space="preserve">NR-P.25: </t>
        </r>
        <r>
          <rPr>
            <sz val="9"/>
            <color indexed="81"/>
            <rFont val="Tahoma"/>
            <family val="2"/>
          </rPr>
          <t>Table 1.8: Threats identified for major forest types during the 2012 Red listing exercise</t>
        </r>
      </text>
    </comment>
    <comment ref="CQ173" authorId="1">
      <text>
        <r>
          <rPr>
            <b/>
            <sz val="9"/>
            <color indexed="81"/>
            <rFont val="Tahoma"/>
            <family val="2"/>
          </rPr>
          <t xml:space="preserve">billy.tsekos:
NR-P.41:FIGURE 1.6: </t>
        </r>
        <r>
          <rPr>
            <sz val="9"/>
            <color indexed="81"/>
            <rFont val="Tahoma"/>
            <family val="2"/>
          </rPr>
          <t xml:space="preserve">The potential vulnerability of Sri Lanka’s biodiversity rich areas and sites of high endemism to climate change, by Divisional Secretary Division.
</t>
        </r>
        <r>
          <rPr>
            <b/>
            <sz val="9"/>
            <color indexed="81"/>
            <rFont val="Tahoma"/>
            <family val="2"/>
          </rPr>
          <t>NR-P.89:</t>
        </r>
        <r>
          <rPr>
            <sz val="9"/>
            <color indexed="81"/>
            <rFont val="Tahoma"/>
            <family val="2"/>
          </rPr>
          <t>Key actions taken by Sri Lanka to reduce the anthropogenic pressure on vulnerable ecosystems
can be summarized as follows...</t>
        </r>
        <r>
          <rPr>
            <b/>
            <sz val="9"/>
            <color indexed="81"/>
            <rFont val="Tahoma"/>
            <family val="2"/>
          </rPr>
          <t xml:space="preserve">
NR-P.95:</t>
        </r>
        <r>
          <rPr>
            <sz val="9"/>
            <color indexed="81"/>
            <rFont val="Tahoma"/>
            <family val="2"/>
          </rPr>
          <t xml:space="preserve">
National Capacity Needs Self Assessment on Climate Change (2007) and the Technology Needs Assessment (TNA) for climate change (2012) were completed as a significant contribution to climate change mitigation and adaptation.
New technologies for climate change adaptation were introduced by the Departments of Agriculture, Tea Research Institute, and several other institutions and universities that are developing new technologies for mitigation measures.
</t>
        </r>
      </text>
    </comment>
    <comment ref="CW173" authorId="1">
      <text>
        <r>
          <rPr>
            <b/>
            <sz val="9"/>
            <color indexed="81"/>
            <rFont val="Tahoma"/>
            <family val="2"/>
          </rPr>
          <t>billy.tsekos:</t>
        </r>
        <r>
          <rPr>
            <sz val="9"/>
            <color indexed="81"/>
            <rFont val="Tahoma"/>
            <family val="2"/>
          </rPr>
          <t xml:space="preserve">
</t>
        </r>
        <r>
          <rPr>
            <b/>
            <sz val="9"/>
            <color indexed="81"/>
            <rFont val="Tahoma"/>
            <family val="2"/>
          </rPr>
          <t xml:space="preserve">NR-P.xvi: </t>
        </r>
        <r>
          <rPr>
            <sz val="9"/>
            <color indexed="81"/>
            <rFont val="Tahoma"/>
            <family val="2"/>
          </rPr>
          <t>The Protected Areas (PAs) managed by the FD and the DWLC has increased about 84% from2008 to 2010.</t>
        </r>
      </text>
    </comment>
    <comment ref="DF173" authorId="1">
      <text>
        <r>
          <rPr>
            <b/>
            <sz val="9"/>
            <color indexed="81"/>
            <rFont val="Tahoma"/>
            <family val="2"/>
          </rPr>
          <t>billy.tsekos:</t>
        </r>
        <r>
          <rPr>
            <sz val="9"/>
            <color indexed="81"/>
            <rFont val="Tahoma"/>
            <family val="2"/>
          </rPr>
          <t xml:space="preserve">
INDCs for Mitigation intends to reduce the GHG emissions against Business-As-Usual (BAU) scenario by 20% in energy sector (4% unconditionally and 16% conditionally) and by 10% in other sectors (transport, industry, forests and waste) by 3% unconditionally and 7% conditionally by 2030.</t>
        </r>
      </text>
    </comment>
    <comment ref="DK173" authorId="1">
      <text>
        <r>
          <rPr>
            <b/>
            <sz val="9"/>
            <color indexed="81"/>
            <rFont val="Tahoma"/>
            <family val="2"/>
          </rPr>
          <t>billy.tsekos:</t>
        </r>
        <r>
          <rPr>
            <sz val="9"/>
            <color indexed="81"/>
            <rFont val="Tahoma"/>
            <family val="2"/>
          </rPr>
          <t xml:space="preserve">
1. Increase forest cover of Sri Lanka from 29% to 32% by 2030. 
2. Improvement of the quality of growing stock of Natural Forests and Forest plantations. 
3. Restoration of degraded forests and hilltops (shrubs, grasslands and state lands)
 4. Increase river basin management for major rivers of Sri Lanka.
 5. Forestation of underutilized private lands and marginal Tea lands.
 6. Urban forestry (Tree planting along roadside, temple lands, schools and other govt. lands) 
7. Establishment/ reactivating of National Forest Monitoring System (NFMS). 
8. Promote private and public sector companies for investment in environmental conservation projects through CSR program</t>
        </r>
      </text>
    </comment>
    <comment ref="DL173" authorId="1">
      <text>
        <r>
          <rPr>
            <b/>
            <sz val="9"/>
            <color indexed="81"/>
            <rFont val="Tahoma"/>
            <family val="2"/>
          </rPr>
          <t>billy.tsekos:</t>
        </r>
        <r>
          <rPr>
            <sz val="9"/>
            <color indexed="81"/>
            <rFont val="Tahoma"/>
            <family val="2"/>
          </rPr>
          <t xml:space="preserve">
Consequently five major broader adaptation targets identified such as: 
1. Mainstreaming climate change adaptation into national planning and development. 
2. Enabling climate resilient and healthy human settlements. 
3. Minimizing climate change impacts on food security. 
4. Improving climate resilience of key economic drives. 
5. Safeguarding natural resources and biodiversity from climate change impacts. 
In the process of meeting these adaptation commitments, Sri Lanka will make extra efforts to build synergies between adaptation and mitigation while capitalising on mitigation co-benefits of adaptation actions. 
</t>
        </r>
      </text>
    </comment>
    <comment ref="ER173" authorId="0">
      <text>
        <r>
          <rPr>
            <sz val="9"/>
            <color indexed="81"/>
            <rFont val="Tahoma"/>
            <family val="2"/>
          </rPr>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r>
      </text>
    </comment>
    <comment ref="BX174" authorId="6">
      <text>
        <r>
          <rPr>
            <b/>
            <sz val="9"/>
            <color indexed="81"/>
            <rFont val="Tahoma"/>
            <family val="2"/>
          </rPr>
          <t>Daniel:
NR_P.62-63</t>
        </r>
        <r>
          <rPr>
            <sz val="9"/>
            <color indexed="81"/>
            <rFont val="Tahoma"/>
            <family val="2"/>
          </rPr>
          <t xml:space="preserve">
-Unplanned urban expansion
 Deforestation
 Unplanned forestry activities
 Drought
 Land confiscation
 Colonial settlements
 Bypass roads
 Segregation Wall
(...)
ALSO --&gt; NR_P.53</t>
        </r>
      </text>
    </comment>
    <comment ref="CV174" authorId="6">
      <text>
        <r>
          <rPr>
            <b/>
            <sz val="9"/>
            <color indexed="81"/>
            <rFont val="Tahoma"/>
            <family val="2"/>
          </rPr>
          <t>Daniel:</t>
        </r>
        <r>
          <rPr>
            <sz val="9"/>
            <color indexed="81"/>
            <rFont val="Tahoma"/>
            <family val="2"/>
          </rPr>
          <t xml:space="preserve">
NR_P.85
The National Strategy, Action Programme and Integrated Financing Strategy
to Combat Desertification in the Occupied Palestinian Territory: The EQA has
developed a strategy on combating desertification in 2012. The overall objective of the
strategy is “to prevent, halt and where possible, reverse the effects and impact of
desertification, land degradation and droughts, in order to contribute to poverty
alleviation, improve livelihoods of people and achieve Sustainable Development”. (...)
</t>
        </r>
      </text>
    </comment>
    <comment ref="CW174" authorId="6">
      <text>
        <r>
          <rPr>
            <b/>
            <sz val="9"/>
            <color indexed="81"/>
            <rFont val="Tahoma"/>
            <family val="2"/>
          </rPr>
          <t>Daniel:</t>
        </r>
        <r>
          <rPr>
            <sz val="9"/>
            <color indexed="81"/>
            <rFont val="Tahoma"/>
            <family val="2"/>
          </rPr>
          <t xml:space="preserve">
NR_P.37</t>
        </r>
      </text>
    </comment>
    <comment ref="ER174" authorId="0">
      <text>
        <r>
          <rPr>
            <sz val="9"/>
            <color indexed="81"/>
            <rFont val="Tahoma"/>
            <family val="2"/>
          </rPr>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r>
      </text>
    </comment>
    <comment ref="Z175" authorId="6">
      <text>
        <r>
          <rPr>
            <b/>
            <sz val="9"/>
            <color indexed="81"/>
            <rFont val="Tahoma"/>
            <family val="2"/>
          </rPr>
          <t>Daniel:</t>
        </r>
        <r>
          <rPr>
            <sz val="9"/>
            <color indexed="81"/>
            <rFont val="Tahoma"/>
            <family val="2"/>
          </rPr>
          <t xml:space="preserve">
NR_P.3 and 18</t>
        </r>
      </text>
    </comment>
    <comment ref="BA175" authorId="0">
      <text>
        <r>
          <rPr>
            <sz val="9"/>
            <color indexed="81"/>
            <rFont val="Tahoma"/>
            <family val="2"/>
          </rPr>
          <t>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r>
      </text>
    </comment>
    <comment ref="BC175" authorId="6">
      <text>
        <r>
          <rPr>
            <b/>
            <sz val="9"/>
            <color indexed="81"/>
            <rFont val="Tahoma"/>
            <family val="2"/>
          </rPr>
          <t>Daniel:NBASP-P.67</t>
        </r>
        <r>
          <rPr>
            <sz val="9"/>
            <color indexed="81"/>
            <rFont val="Tahoma"/>
            <family val="2"/>
          </rPr>
          <t xml:space="preserve">
Component Target: By 2020, the rate of loss of all natural habitats, including forests, is
at least halved and degradation and fragmentation of wildlife habitat is significantly
reduced.</t>
        </r>
      </text>
    </comment>
    <comment ref="BD175" authorId="6">
      <text>
        <r>
          <rPr>
            <b/>
            <sz val="9"/>
            <color indexed="81"/>
            <rFont val="Tahoma"/>
            <family val="2"/>
          </rPr>
          <t>Daniel:</t>
        </r>
        <r>
          <rPr>
            <sz val="9"/>
            <color indexed="81"/>
            <rFont val="Tahoma"/>
            <family val="2"/>
          </rPr>
          <t xml:space="preserve">
2020</t>
        </r>
      </text>
    </comment>
    <comment ref="BK175" authorId="6">
      <text>
        <r>
          <rPr>
            <b/>
            <sz val="9"/>
            <color indexed="81"/>
            <rFont val="Tahoma"/>
            <family val="2"/>
          </rPr>
          <t>Daniel:</t>
        </r>
        <r>
          <rPr>
            <sz val="9"/>
            <color indexed="81"/>
            <rFont val="Tahoma"/>
            <family val="2"/>
          </rPr>
          <t xml:space="preserve">
2020</t>
        </r>
      </text>
    </comment>
    <comment ref="BX175" authorId="6">
      <text>
        <r>
          <rPr>
            <b/>
            <sz val="9"/>
            <color indexed="81"/>
            <rFont val="Tahoma"/>
            <family val="2"/>
          </rPr>
          <t>Daniel:</t>
        </r>
        <r>
          <rPr>
            <sz val="9"/>
            <color indexed="81"/>
            <rFont val="Tahoma"/>
            <family val="2"/>
          </rPr>
          <t xml:space="preserve">
NR_P.27 and further
NBSAP_P. 44 and further</t>
        </r>
      </text>
    </comment>
    <comment ref="CP175" authorId="6">
      <text>
        <r>
          <rPr>
            <b/>
            <sz val="9"/>
            <color indexed="81"/>
            <rFont val="Tahoma"/>
            <family val="2"/>
          </rPr>
          <t>Daniel:</t>
        </r>
        <r>
          <rPr>
            <sz val="9"/>
            <color indexed="81"/>
            <rFont val="Tahoma"/>
            <family val="2"/>
          </rPr>
          <t xml:space="preserve">
NR_P71 Conduct research on: Protected area valuation assessment, Climate change
resilience and adaptation assessment, protected area integration and mainstreaming
assessment.
</t>
        </r>
      </text>
    </comment>
    <comment ref="CV175" authorId="6">
      <text>
        <r>
          <rPr>
            <sz val="9"/>
            <color indexed="81"/>
            <rFont val="Tahoma"/>
            <family val="2"/>
          </rPr>
          <t>NR.P63
Component Target: By 2020, ecosystem resilience and the contribution of biodiversity to
carbon stocks has been enhanced, through conservation and restoration, including
restoration of at least 15% of degraded ecosystems, thereby contributing to climate change
mitigation and adaptation and to combating desertification.
Actions proposed:
Rehabilitation of degraded rangelands through:
1. Reseeding with palatable species.
2. Adoption of good range management practices.
3. Balance extracting units with available resources.</t>
        </r>
      </text>
    </comment>
    <comment ref="AH176" authorId="5">
      <text>
        <r>
          <rPr>
            <sz val="11"/>
            <color theme="1"/>
            <rFont val="Calibri"/>
            <family val="2"/>
            <scheme val="minor"/>
          </rPr>
          <t xml:space="preserve">The deforestation rate of about TWO PERCENT is due to a small scale gold mining. An
important mean to reserve that rate is the REDD project In colaboration with the
Forest Carbon Partnership FaciIlity (FCPF). This target is not very applicable at thls
moment for Suriname 'the greenest country on earth'. We will formulate a project to reduce the concentration of mercury and other hazardous chemicals In the environment as a result of small scale gold mining. 
NO DATA SOURCE
</t>
        </r>
      </text>
    </comment>
    <comment ref="BA176" authorId="0">
      <text>
        <r>
          <rPr>
            <sz val="9"/>
            <color indexed="81"/>
            <rFont val="Tahoma"/>
            <family val="2"/>
          </rPr>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r>
      </text>
    </comment>
    <comment ref="BI176" authorId="5">
      <text>
        <r>
          <rPr>
            <sz val="11"/>
            <color theme="1"/>
            <rFont val="Calibri"/>
            <family val="2"/>
            <scheme val="minor"/>
          </rPr>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r>
      </text>
    </comment>
    <comment ref="BX176" authorId="5">
      <text>
        <r>
          <rPr>
            <sz val="11"/>
            <color theme="1"/>
            <rFont val="Calibri"/>
            <family val="2"/>
            <scheme val="minor"/>
          </rPr>
          <t xml:space="preserve">
--&gt; p. 13 -14 lists the drivers with small descriptions</t>
        </r>
      </text>
    </comment>
    <comment ref="CC176" authorId="5">
      <text>
        <r>
          <rPr>
            <sz val="11"/>
            <color theme="1"/>
            <rFont val="Calibri"/>
            <family val="2"/>
            <scheme val="minor"/>
          </rPr>
          <t>p. 20</t>
        </r>
      </text>
    </comment>
    <comment ref="CH176" authorId="5">
      <text>
        <r>
          <rPr>
            <sz val="11"/>
            <color theme="1"/>
            <rFont val="Calibri"/>
            <family val="2"/>
            <scheme val="minor"/>
          </rPr>
          <t xml:space="preserve">Multiple Mentions.
Most relevant  on AT5 and AT15 section of the document (p. 20 -23) and in the executive summary (p.7)
</t>
        </r>
      </text>
    </comment>
    <comment ref="ER177" authorId="0">
      <text>
        <r>
          <rPr>
            <sz val="9"/>
            <color indexed="81"/>
            <rFont val="Tahoma"/>
            <family val="2"/>
          </rPr>
          <t xml:space="preserve">(P. 60) The target is rate of loss and degradation of
natural habitats decreased. 
</t>
        </r>
      </text>
    </comment>
    <comment ref="ET177" authorId="0">
      <text>
        <r>
          <rPr>
            <sz val="9"/>
            <color indexed="81"/>
            <rFont val="Tahoma"/>
            <family val="2"/>
          </rPr>
          <t xml:space="preserve">(P. 60) The targets are Maintain and enhance resilience of the components of biodiversity to adapt to climate change; and Reduce pollution and its impacts on biodiversity. 
</t>
        </r>
      </text>
    </comment>
    <comment ref="ER178" authorId="0">
      <text>
        <r>
          <rPr>
            <sz val="9"/>
            <color indexed="81"/>
            <rFont val="Tahoma"/>
            <family val="2"/>
          </rPr>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r>
      </text>
    </comment>
    <comment ref="ET178" authorId="0">
      <text>
        <r>
          <rPr>
            <sz val="9"/>
            <color indexed="81"/>
            <rFont val="Tahoma"/>
            <family val="2"/>
          </rPr>
          <t xml:space="preserve">5 NR- P.74 - Relevant national 5-year target(s) from NBF 2008. (table)
* National programme dealing with ecosystem adaptation to climate change has been
developed and is accepted by all stakeholders.
</t>
        </r>
      </text>
    </comment>
    <comment ref="BA179" authorId="0">
      <text>
        <r>
          <rPr>
            <sz val="9"/>
            <color indexed="81"/>
            <rFont val="Tahoma"/>
            <family val="2"/>
          </rPr>
          <t>Strategic Goal 2 By 2020, an ecological infrastructure consisting of protected and connected areas is developed. The state of threatened habitats is improved.</t>
        </r>
      </text>
    </comment>
    <comment ref="ER180" authorId="0">
      <text>
        <r>
          <rPr>
            <sz val="9"/>
            <color indexed="81"/>
            <rFont val="Tahoma"/>
            <family val="2"/>
          </rPr>
          <t xml:space="preserve">(P.92) Iraqi Target 5
By the end of 2020, a GIS database of the extent,
condition (i.e. healthy or degraded) and protection status of the natural (not altered by human intervention), semi-natural and human modified habitats of Iraq has been developed.
Iraqi Target 6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By the end of 2015 the main pressures on forest
ecosystems are identified and studied
Iraqi Target 8
By the end of 2020, legislation to address the
main pressures on forest ecosystems and native
forest species is issued, promoting sustainable
management, restoration and conservation.
Iraqi Target 9
By the end of 2020, about 1,000 square km of
desertified shrubland grassland is restored
</t>
        </r>
      </text>
    </comment>
    <comment ref="Z182" authorId="1">
      <text>
        <r>
          <rPr>
            <b/>
            <sz val="9"/>
            <color indexed="81"/>
            <rFont val="Tahoma"/>
            <family val="2"/>
          </rPr>
          <t>billy.tsekos:</t>
        </r>
        <r>
          <rPr>
            <sz val="9"/>
            <color indexed="81"/>
            <rFont val="Tahoma"/>
            <family val="2"/>
          </rPr>
          <t xml:space="preserve">
</t>
        </r>
        <r>
          <rPr>
            <b/>
            <sz val="9"/>
            <color indexed="81"/>
            <rFont val="Tahoma"/>
            <family val="2"/>
          </rPr>
          <t xml:space="preserve">NR-P11: forests
NR-P.14: </t>
        </r>
        <r>
          <rPr>
            <sz val="9"/>
            <color indexed="81"/>
            <rFont val="Tahoma"/>
            <family val="2"/>
          </rPr>
          <t xml:space="preserve">Mangrove: In 2009 and 2013, it was found that the mangrove area in Thailand increased to 1.525 million million rai and 1.568 million rai, respectively. Comparing the mangrove areas between the Gulf of Thailand and Andaman Sea, it is found that in the Gulf of Thailand, there is less mangrove area and the mangrove loss rate is more than in the Andaman Coast. However, the mangrove area begins to lose less since 2004 and the trend is constant at present. This is due to the conservation and reforestation with the cooperation from both public and private sectors such as in Trang, Phetchaburi, and Surat Than.
</t>
        </r>
        <r>
          <rPr>
            <b/>
            <sz val="9"/>
            <color indexed="81"/>
            <rFont val="Tahoma"/>
            <family val="2"/>
          </rPr>
          <t xml:space="preserve">
NR-P40: forests</t>
        </r>
        <r>
          <rPr>
            <sz val="9"/>
            <color indexed="81"/>
            <rFont val="Tahoma"/>
            <family val="2"/>
          </rPr>
          <t xml:space="preserve">
</t>
        </r>
        <r>
          <rPr>
            <b/>
            <sz val="9"/>
            <color indexed="81"/>
            <rFont val="Tahoma"/>
            <family val="2"/>
          </rPr>
          <t xml:space="preserve">
NR-P.86: 
</t>
        </r>
        <r>
          <rPr>
            <sz val="9"/>
            <color indexed="81"/>
            <rFont val="Tahoma"/>
            <family val="2"/>
          </rPr>
          <t xml:space="preserve">• Awareness for scrutinize and preservation on forest ecosystem, headwater and stream ecosystems as food and water sources was commonly found in local communities rather than the policy maker and associated firms. Hence, considering on wetland ecosystem is less consideration than the forest ecosystem. At present, Thailand had lost more than 50 percent of wetlands area comparing to the past 60 years .
• As responding to obligation of the Ramsar Convention, after ratified on 1998, Thailand had declared 14 international important Ramsar sites which covered area about 4,011.34 sq. km., by resolution of the cabinet in 2000. In 2008, the revised resolution for specify the standard for protecting of wetlands, and improving of wetlands checklist which comprising of 69 sites for the international important wetlands, 47 sites of national important wetlands and also setting the conservation measure for general wetlands, especially the public wetlands which functioning as storage and support of water body.
• However, declining of wetlands still present due to illegal possesses,or by colossal construction projects, or invaded by invasive alien species. Even Thailand had a strong mechanism for monitoring, evaluating and problem determing by the wetland committee which will acting as technical consultants, considering and screening of management plans for wetlands and then pass for approval from National Board on Wetland Management and also the National Board on Environmental. However, lessons from past had indicated Thailand need a special act for wetland. </t>
        </r>
      </text>
    </comment>
    <comment ref="AH182" authorId="1">
      <text>
        <r>
          <rPr>
            <b/>
            <sz val="9"/>
            <color indexed="81"/>
            <rFont val="Tahoma"/>
            <family val="2"/>
          </rPr>
          <t>billy.tsekos:</t>
        </r>
        <r>
          <rPr>
            <sz val="9"/>
            <color indexed="81"/>
            <rFont val="Tahoma"/>
            <family val="2"/>
          </rPr>
          <t xml:space="preserve">
</t>
        </r>
        <r>
          <rPr>
            <b/>
            <sz val="9"/>
            <color indexed="81"/>
            <rFont val="Tahoma"/>
            <family val="2"/>
          </rPr>
          <t>NR-P.9:</t>
        </r>
        <r>
          <rPr>
            <sz val="9"/>
            <color indexed="81"/>
            <rFont val="Tahoma"/>
            <family val="2"/>
          </rPr>
          <t xml:space="preserve"> The natural ecosystem has lost a lot of lands. The forest areas are lost in the average of 2,560 square kilometers per year.
</t>
        </r>
        <r>
          <rPr>
            <b/>
            <sz val="9"/>
            <color indexed="81"/>
            <rFont val="Tahoma"/>
            <family val="2"/>
          </rPr>
          <t>NR-P11: forests</t>
        </r>
        <r>
          <rPr>
            <sz val="9"/>
            <color indexed="81"/>
            <rFont val="Tahoma"/>
            <family val="2"/>
          </rPr>
          <t xml:space="preserve">
</t>
        </r>
        <r>
          <rPr>
            <b/>
            <sz val="9"/>
            <color indexed="81"/>
            <rFont val="Tahoma"/>
            <family val="2"/>
          </rPr>
          <t>NR-P.14:</t>
        </r>
        <r>
          <rPr>
            <sz val="9"/>
            <color indexed="81"/>
            <rFont val="Tahoma"/>
            <family val="2"/>
          </rPr>
          <t xml:space="preserve">
</t>
        </r>
      </text>
    </comment>
    <comment ref="AV182"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The deforestation causes the stream to dry up. In the drought, farmers do not have enough water for cultivation. This leads to the creation of irrigation projects, irrigation canals, reservoirs, dams and levees which use the areas of forest and natural wetlands. In some irrigation areas, the rice can be grown for 5-6 times in just two years. This is excessive for the maximum capacity of the soiland the demand on water use increase too much. However, in the flood season, water reservoir cannot bear the water resulting in the flood to destroy crops. The marshy plain of the river is changed into farming area.</t>
        </r>
      </text>
    </comment>
    <comment ref="BA182"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 xml:space="preserve">By 2016, every sector of society, particularly local communities and their networks, significantly increase their participation in the conservation, restoration and sustainable use of biodiversity.
</t>
        </r>
        <r>
          <rPr>
            <b/>
            <sz val="9"/>
            <color indexed="81"/>
            <rFont val="Tahoma"/>
            <family val="2"/>
          </rPr>
          <t xml:space="preserve">
NR-P.99: </t>
        </r>
        <r>
          <rPr>
            <sz val="9"/>
            <color indexed="81"/>
            <rFont val="Tahoma"/>
            <family val="2"/>
          </rPr>
          <t xml:space="preserve">By 2016, the rate of habitat loss, including forestlands, is reduced.
</t>
        </r>
        <r>
          <rPr>
            <b/>
            <sz val="9"/>
            <color indexed="81"/>
            <rFont val="Tahoma"/>
            <family val="2"/>
          </rPr>
          <t>NR-P.99:</t>
        </r>
        <r>
          <rPr>
            <sz val="9"/>
            <color indexed="81"/>
            <rFont val="Tahoma"/>
            <family val="2"/>
          </rPr>
          <t xml:space="preserve"> By 2016, effectiveness in managing wetlands is increased at all levels.
</t>
        </r>
        <r>
          <rPr>
            <b/>
            <sz val="9"/>
            <color indexed="81"/>
            <rFont val="Tahoma"/>
            <family val="2"/>
          </rPr>
          <t xml:space="preserve">NR-P.99: </t>
        </r>
        <r>
          <rPr>
            <sz val="9"/>
            <color indexed="81"/>
            <rFont val="Tahoma"/>
            <family val="2"/>
          </rPr>
          <t>By 2020, the rate of habitat loss, including forestlands, is reduced by 50%.</t>
        </r>
      </text>
    </comment>
    <comment ref="BD182" authorId="1">
      <text>
        <r>
          <rPr>
            <b/>
            <sz val="9"/>
            <color indexed="81"/>
            <rFont val="Tahoma"/>
            <family val="2"/>
          </rPr>
          <t>billy.tsekos:</t>
        </r>
        <r>
          <rPr>
            <sz val="9"/>
            <color indexed="81"/>
            <rFont val="Tahoma"/>
            <family val="2"/>
          </rPr>
          <t xml:space="preserve">
2016, 2020</t>
        </r>
      </text>
    </comment>
    <comment ref="BI182"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By 2021, the loss of wetland ecosystem is significantly reduced in order to enable ecosystem services and facilitate ecosystem-based adaption to climate change.</t>
        </r>
      </text>
    </comment>
    <comment ref="BL182" authorId="1">
      <text>
        <r>
          <rPr>
            <b/>
            <sz val="9"/>
            <color indexed="81"/>
            <rFont val="Tahoma"/>
            <family val="2"/>
          </rPr>
          <t>billy.tsekos:</t>
        </r>
        <r>
          <rPr>
            <sz val="9"/>
            <color indexed="81"/>
            <rFont val="Tahoma"/>
            <family val="2"/>
          </rPr>
          <t xml:space="preserve">
</t>
        </r>
        <r>
          <rPr>
            <b/>
            <sz val="9"/>
            <color indexed="81"/>
            <rFont val="Tahoma"/>
            <family val="2"/>
          </rPr>
          <t xml:space="preserve">NR-P.86 &amp;87 </t>
        </r>
      </text>
    </comment>
    <comment ref="BP182" authorId="1">
      <text>
        <r>
          <rPr>
            <b/>
            <sz val="9"/>
            <color indexed="81"/>
            <rFont val="Tahoma"/>
            <family val="2"/>
          </rPr>
          <t>billy.tsekos:</t>
        </r>
        <r>
          <rPr>
            <sz val="9"/>
            <color indexed="81"/>
            <rFont val="Tahoma"/>
            <family val="2"/>
          </rPr>
          <t xml:space="preserve">
</t>
        </r>
        <r>
          <rPr>
            <b/>
            <sz val="9"/>
            <color indexed="81"/>
            <rFont val="Tahoma"/>
            <family val="2"/>
          </rPr>
          <t xml:space="preserve">NR-P.46, 86 &amp; 87 </t>
        </r>
      </text>
    </comment>
    <comment ref="BT182" authorId="1">
      <text>
        <r>
          <rPr>
            <b/>
            <sz val="9"/>
            <color indexed="81"/>
            <rFont val="Tahoma"/>
            <family val="2"/>
          </rPr>
          <t>billy.tsekos:</t>
        </r>
        <r>
          <rPr>
            <sz val="9"/>
            <color indexed="81"/>
            <rFont val="Tahoma"/>
            <family val="2"/>
          </rPr>
          <t xml:space="preserve">
</t>
        </r>
        <r>
          <rPr>
            <b/>
            <sz val="9"/>
            <color indexed="81"/>
            <rFont val="Tahoma"/>
            <family val="2"/>
          </rPr>
          <t>NR-P.99:</t>
        </r>
        <r>
          <rPr>
            <sz val="9"/>
            <color indexed="81"/>
            <rFont val="Tahoma"/>
            <family val="2"/>
          </rPr>
          <t xml:space="preserve"> By 2020, the rate of habitat loss, including forestlands, is reduced by</t>
        </r>
        <r>
          <rPr>
            <b/>
            <sz val="9"/>
            <color indexed="81"/>
            <rFont val="Tahoma"/>
            <family val="2"/>
          </rPr>
          <t xml:space="preserve"> 50%.</t>
        </r>
      </text>
    </comment>
    <comment ref="BX182" authorId="1">
      <text>
        <r>
          <rPr>
            <b/>
            <sz val="9"/>
            <color indexed="81"/>
            <rFont val="Tahoma"/>
            <family val="2"/>
          </rPr>
          <t>billy.tsekos:</t>
        </r>
        <r>
          <rPr>
            <sz val="9"/>
            <color indexed="81"/>
            <rFont val="Tahoma"/>
            <family val="2"/>
          </rPr>
          <t xml:space="preserve">
Mangorve degradation</t>
        </r>
      </text>
    </comment>
    <comment ref="CC182" authorId="1">
      <text>
        <r>
          <rPr>
            <b/>
            <sz val="9"/>
            <color indexed="81"/>
            <rFont val="Tahoma"/>
            <family val="2"/>
          </rPr>
          <t>billy.tsekos:</t>
        </r>
        <r>
          <rPr>
            <sz val="9"/>
            <color indexed="81"/>
            <rFont val="Tahoma"/>
            <family val="2"/>
          </rPr>
          <t xml:space="preserve">
</t>
        </r>
        <r>
          <rPr>
            <b/>
            <sz val="9"/>
            <color indexed="81"/>
            <rFont val="Tahoma"/>
            <family val="2"/>
          </rPr>
          <t xml:space="preserve">NR-P.86: </t>
        </r>
        <r>
          <rPr>
            <sz val="9"/>
            <color indexed="81"/>
            <rFont val="Tahoma"/>
            <family val="2"/>
          </rPr>
          <t>The female unified group for sago forest, had initiate the project of conserving and restoration of 0.21 sq.Km. Sago forest in Trang province, Southern ofThailand. Establishing of group due to concerning of degradation and destruction of Sago forests by wetland development project. Sago is aquatic palm species that pack together like dense forest. Densing Sago plant become good habitat for fish especially juvenile fish. Other than that old Sago stem also accumulate edible starch which community can use this starch as carbohydrate source. Demolished sago forests would cause food shortage in community. Thence, the group had push several measures for managing and deforestation of Sago plants. Furthermore, the group also finding the way to get benefits from Sago forest as community enterprise such as making instant sago starch,sweepers, sleeping mat and learning center.</t>
        </r>
      </text>
    </comment>
    <comment ref="CP182" authorId="1">
      <text>
        <r>
          <rPr>
            <b/>
            <sz val="9"/>
            <color indexed="81"/>
            <rFont val="Tahoma"/>
            <family val="2"/>
          </rPr>
          <t>billy.tsekos:</t>
        </r>
        <r>
          <rPr>
            <sz val="9"/>
            <color indexed="81"/>
            <rFont val="Tahoma"/>
            <family val="2"/>
          </rPr>
          <t xml:space="preserve">
</t>
        </r>
        <r>
          <rPr>
            <b/>
            <sz val="9"/>
            <color indexed="81"/>
            <rFont val="Tahoma"/>
            <family val="2"/>
          </rPr>
          <t xml:space="preserve">NR-P.34: </t>
        </r>
        <r>
          <rPr>
            <sz val="9"/>
            <color indexed="81"/>
            <rFont val="Tahoma"/>
            <family val="2"/>
          </rPr>
          <t>Loss of Ecosystem Resilience</t>
        </r>
      </text>
    </comment>
    <comment ref="CQ182"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 xml:space="preserve">Long-term policy at the national level regarding climate change adaptation and mitigation to biological diversity
</t>
        </r>
        <r>
          <rPr>
            <b/>
            <sz val="9"/>
            <color indexed="81"/>
            <rFont val="Tahoma"/>
            <family val="2"/>
          </rPr>
          <t xml:space="preserve">NR-P.104: </t>
        </r>
        <r>
          <rPr>
            <sz val="9"/>
            <color indexed="81"/>
            <rFont val="Tahoma"/>
            <family val="2"/>
          </rPr>
          <t>Study of impacts from climate change to biodiversity, especial in vulnerable ecosystems</t>
        </r>
      </text>
    </comment>
    <comment ref="CV182" authorId="1">
      <text>
        <r>
          <rPr>
            <b/>
            <sz val="9"/>
            <color indexed="81"/>
            <rFont val="Tahoma"/>
            <family val="2"/>
          </rPr>
          <t>billy.tsekos:</t>
        </r>
        <r>
          <rPr>
            <sz val="9"/>
            <color indexed="81"/>
            <rFont val="Tahoma"/>
            <family val="2"/>
          </rPr>
          <t xml:space="preserve">
</t>
        </r>
        <r>
          <rPr>
            <b/>
            <sz val="9"/>
            <color indexed="81"/>
            <rFont val="Tahoma"/>
            <family val="2"/>
          </rPr>
          <t>NR-P.86</t>
        </r>
      </text>
    </comment>
    <comment ref="CW182" authorId="1">
      <text>
        <r>
          <rPr>
            <b/>
            <sz val="9"/>
            <color indexed="81"/>
            <rFont val="Tahoma"/>
            <family val="2"/>
          </rPr>
          <t>billy.tsekos:</t>
        </r>
        <r>
          <rPr>
            <sz val="9"/>
            <color indexed="81"/>
            <rFont val="Tahoma"/>
            <family val="2"/>
          </rPr>
          <t xml:space="preserve">
</t>
        </r>
        <r>
          <rPr>
            <b/>
            <sz val="9"/>
            <color indexed="81"/>
            <rFont val="Tahoma"/>
            <family val="2"/>
          </rPr>
          <t>NR-P.60: T</t>
        </r>
        <r>
          <rPr>
            <sz val="9"/>
            <color indexed="81"/>
            <rFont val="Tahoma"/>
            <family val="2"/>
          </rPr>
          <t>he Strategy 6 on sustainable management of natural resources and environment has set a target to increase integrity of natural resource and biodiversity bases by maintaining the protected areas to not less than 19 percent, increase forest area to be 40 percent of the country total area, and increase 5,000 rai of mangrove area annually.</t>
        </r>
      </text>
    </comment>
    <comment ref="DL182" authorId="1">
      <text>
        <r>
          <rPr>
            <b/>
            <sz val="9"/>
            <color indexed="81"/>
            <rFont val="Tahoma"/>
            <family val="2"/>
          </rPr>
          <t>billy.tsekos:</t>
        </r>
        <r>
          <rPr>
            <sz val="9"/>
            <color indexed="81"/>
            <rFont val="Tahoma"/>
            <family val="2"/>
          </rPr>
          <t xml:space="preserve">
Thailand’s prioritized adaptation efforts include: 
• Promote and strengthen Integrated Water Resources Management (IWRM) practices to achieve water security, effective water resource management to mitigate flood and drought 
• Promote sustainable agriculture and Good Agricultural Practice (GAP) 
• Increase national forest cover to 40% through local community participation, including in particular headwater and mangrove forests to enhance adaptive capacities of related ecosystem 
• Safeguard biodiversity and restore ecological integrity in protected areas and important landscapes from the adverse impacts of climate change, with the emphasis on vulnerable ecosystems and red list species 
• Promote nature-based and sustainable tourism while enhancing better understanding on risk and vulnerability of the tourism sector, especially in hotspot areas 
• Strengthen disaster risk reduction and reduce population’s vulnerability to climate risk and extreme weather events through enhanced awareness, coordination and adaptive capacity of local communities, especially in the disaster risk-prone areas 
• Build regional climate resilience by serving as a knowledge hub to foster regional cooperation and exchange experiences on adaptation
</t>
        </r>
      </text>
    </comment>
    <comment ref="DM182" authorId="1">
      <text>
        <r>
          <rPr>
            <b/>
            <sz val="9"/>
            <color indexed="81"/>
            <rFont val="Tahoma"/>
            <family val="2"/>
          </rPr>
          <t>billy.tsekos:</t>
        </r>
        <r>
          <rPr>
            <sz val="9"/>
            <color indexed="81"/>
            <rFont val="Tahoma"/>
            <family val="2"/>
          </rPr>
          <t xml:space="preserve">
Thailand's national greenhouse gas (GHG) emissions represent only 0.84% of global emissions
in 2012. The country's share of cumulative emissions from 1990-2012 is 0.75%. In 2012, per
capita GHG emissions is at 5.63 tCO2e and emissions per GDP (US$ million) is 409.54 tCO2e,
which is lower than world average. In terms of emission profile, the Second National
Communication indicates that 67% of total GHG emissions in Thailand in 2000 is from the
energy sector. In 2012, CAIT data indicates 73% share is from energy. Consequently,
Thailand's mitigation efforts have focused primarily on the energy, including transport sector. </t>
        </r>
      </text>
    </comment>
    <comment ref="Z183" authorId="1">
      <text>
        <r>
          <rPr>
            <b/>
            <sz val="9"/>
            <color indexed="81"/>
            <rFont val="Tahoma"/>
            <family val="2"/>
          </rPr>
          <t>billy.tsekos:</t>
        </r>
        <r>
          <rPr>
            <sz val="9"/>
            <color indexed="81"/>
            <rFont val="Tahoma"/>
            <family val="2"/>
          </rPr>
          <t xml:space="preserve">
</t>
        </r>
        <r>
          <rPr>
            <b/>
            <sz val="9"/>
            <color indexed="81"/>
            <rFont val="Tahoma"/>
            <family val="2"/>
          </rPr>
          <t xml:space="preserve">NR-P.8 &amp;9: 
 </t>
        </r>
        <r>
          <rPr>
            <sz val="9"/>
            <color indexed="81"/>
            <rFont val="Tahoma"/>
            <family val="2"/>
          </rPr>
          <t>National Forest Map
 Land cover map of Lautem district</t>
        </r>
        <r>
          <rPr>
            <b/>
            <sz val="9"/>
            <color indexed="81"/>
            <rFont val="Tahoma"/>
            <family val="2"/>
          </rPr>
          <t xml:space="preserve">
</t>
        </r>
      </text>
    </comment>
    <comment ref="AH183" authorId="1">
      <text>
        <r>
          <rPr>
            <b/>
            <sz val="9"/>
            <color indexed="81"/>
            <rFont val="Tahoma"/>
            <family val="2"/>
          </rPr>
          <t>billy.tsekos:</t>
        </r>
        <r>
          <rPr>
            <sz val="9"/>
            <color indexed="81"/>
            <rFont val="Tahoma"/>
            <family val="2"/>
          </rPr>
          <t xml:space="preserve">
</t>
        </r>
        <r>
          <rPr>
            <b/>
            <sz val="9"/>
            <color indexed="81"/>
            <rFont val="Tahoma"/>
            <family val="2"/>
          </rPr>
          <t xml:space="preserve">NBSAP-P. 74: 
</t>
        </r>
        <r>
          <rPr>
            <sz val="9"/>
            <color indexed="81"/>
            <rFont val="Tahoma"/>
            <family val="2"/>
          </rPr>
          <t xml:space="preserve">Figure 10. Trends in forest area in Timor-Leste in 1990-2010
Table 4. Trends of forest area by function from 1990 – 2005 
</t>
        </r>
        <r>
          <rPr>
            <b/>
            <sz val="9"/>
            <color indexed="81"/>
            <rFont val="Tahoma"/>
            <family val="2"/>
          </rPr>
          <t xml:space="preserve">
</t>
        </r>
        <r>
          <rPr>
            <sz val="9"/>
            <color indexed="81"/>
            <rFont val="Tahoma"/>
            <family val="2"/>
          </rPr>
          <t xml:space="preserve">
</t>
        </r>
      </text>
    </comment>
    <comment ref="AO183" authorId="1">
      <text>
        <r>
          <rPr>
            <b/>
            <sz val="9"/>
            <color indexed="81"/>
            <rFont val="Tahoma"/>
            <family val="2"/>
          </rPr>
          <t>billy.tsekos:</t>
        </r>
        <r>
          <rPr>
            <sz val="9"/>
            <color indexed="81"/>
            <rFont val="Tahoma"/>
            <family val="2"/>
          </rPr>
          <t xml:space="preserve">
</t>
        </r>
        <r>
          <rPr>
            <b/>
            <sz val="9"/>
            <color indexed="81"/>
            <rFont val="Tahoma"/>
            <family val="2"/>
          </rPr>
          <t>NR-P.10:</t>
        </r>
        <r>
          <rPr>
            <sz val="9"/>
            <color indexed="81"/>
            <rFont val="Tahoma"/>
            <family val="2"/>
          </rPr>
          <t xml:space="preserve"> Forest zones with significant deforestation of dense forest </t>
        </r>
      </text>
    </comment>
    <comment ref="AV183"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Forest zones with significant deforestation of dense forest </t>
        </r>
      </text>
    </comment>
    <comment ref="BA183" authorId="0">
      <text>
        <r>
          <rPr>
            <b/>
            <sz val="9"/>
            <color indexed="81"/>
            <rFont val="Tahoma"/>
            <family val="2"/>
          </rPr>
          <t>NR-P.75:</t>
        </r>
        <r>
          <rPr>
            <sz val="9"/>
            <color indexed="81"/>
            <rFont val="Tahoma"/>
            <family val="2"/>
          </rPr>
          <t xml:space="preserve">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r>
      </text>
    </comment>
    <comment ref="BD183" authorId="1">
      <text>
        <r>
          <rPr>
            <b/>
            <sz val="9"/>
            <color indexed="81"/>
            <rFont val="Tahoma"/>
            <family val="2"/>
          </rPr>
          <t>billy.tsekos:</t>
        </r>
        <r>
          <rPr>
            <sz val="9"/>
            <color indexed="81"/>
            <rFont val="Tahoma"/>
            <family val="2"/>
          </rPr>
          <t xml:space="preserve">
2020</t>
        </r>
      </text>
    </comment>
    <comment ref="BH183" authorId="1">
      <text>
        <r>
          <rPr>
            <b/>
            <sz val="9"/>
            <color indexed="81"/>
            <rFont val="Tahoma"/>
            <family val="2"/>
          </rPr>
          <t>billy.tsekos:</t>
        </r>
        <r>
          <rPr>
            <sz val="9"/>
            <color indexed="81"/>
            <rFont val="Tahoma"/>
            <family val="2"/>
          </rPr>
          <t xml:space="preserve">
</t>
        </r>
        <r>
          <rPr>
            <b/>
            <sz val="9"/>
            <color indexed="81"/>
            <rFont val="Tahoma"/>
            <family val="2"/>
          </rPr>
          <t xml:space="preserve">NBSAP-P.4: </t>
        </r>
        <r>
          <rPr>
            <sz val="9"/>
            <color indexed="81"/>
            <rFont val="Tahoma"/>
            <family val="2"/>
          </rPr>
          <t xml:space="preserve">Over exploitation and unsustainable use of natural resources, as well as habitat degradation and fragmentation are the main drivers of biodiversity loss in Timor-Leste. 
</t>
        </r>
        <r>
          <rPr>
            <b/>
            <sz val="9"/>
            <color indexed="81"/>
            <rFont val="Tahoma"/>
            <family val="2"/>
          </rPr>
          <t>NBSAP-P.102: Goal 3</t>
        </r>
        <r>
          <rPr>
            <sz val="9"/>
            <color indexed="81"/>
            <rFont val="Tahoma"/>
            <family val="2"/>
          </rPr>
          <t xml:space="preserve"> of the National Ecological Gap Assessment (NEGA) Medium-Term 2020 Targets for Protected Area Network: Ensure that protected areas are of the right size for the persistence of biodiversity
Minimize fragmentation of protected area boundaries and maximize habitat connectivity between protected areas to maintain/restore 100 percent habitat connectivity within and
around terrestrial protected areas and 50 percent of marine protected areas.
</t>
        </r>
      </text>
    </comment>
    <comment ref="BI183" authorId="1">
      <text>
        <r>
          <rPr>
            <b/>
            <sz val="9"/>
            <color indexed="81"/>
            <rFont val="Tahoma"/>
            <family val="2"/>
          </rPr>
          <t>billy.tsekos:</t>
        </r>
        <r>
          <rPr>
            <sz val="9"/>
            <color indexed="81"/>
            <rFont val="Tahoma"/>
            <family val="2"/>
          </rPr>
          <t xml:space="preserve">
</t>
        </r>
        <r>
          <rPr>
            <b/>
            <sz val="9"/>
            <color indexed="81"/>
            <rFont val="Tahoma"/>
            <family val="2"/>
          </rPr>
          <t>NBSAP-P.xx:</t>
        </r>
        <r>
          <rPr>
            <sz val="9"/>
            <color indexed="81"/>
            <rFont val="Tahoma"/>
            <family val="2"/>
          </rPr>
          <t xml:space="preserve"> Target: By 2020, the status of biodiversity has improved through the safeguarding of ecosystems, species and genetic diversity in the 30 declared protected areas. </t>
        </r>
      </text>
    </comment>
    <comment ref="BL183" authorId="1">
      <text>
        <r>
          <rPr>
            <b/>
            <sz val="9"/>
            <color indexed="81"/>
            <rFont val="Tahoma"/>
            <family val="2"/>
          </rPr>
          <t>billy.tsekos:</t>
        </r>
        <r>
          <rPr>
            <sz val="9"/>
            <color indexed="81"/>
            <rFont val="Tahoma"/>
            <family val="2"/>
          </rPr>
          <t xml:space="preserve">
</t>
        </r>
        <r>
          <rPr>
            <b/>
            <sz val="9"/>
            <color indexed="81"/>
            <rFont val="Tahoma"/>
            <family val="2"/>
          </rPr>
          <t xml:space="preserve">NBSAP-P.xx: </t>
        </r>
        <r>
          <rPr>
            <sz val="9"/>
            <color indexed="81"/>
            <rFont val="Tahoma"/>
            <family val="2"/>
          </rPr>
          <t xml:space="preserve">Effectively manage representative samples of Timor-Leste’s biodiversity in identified protected areas and create natural conservation zones to protect specific biodiversity and ecosystems
</t>
        </r>
        <r>
          <rPr>
            <b/>
            <sz val="9"/>
            <color indexed="81"/>
            <rFont val="Tahoma"/>
            <family val="2"/>
          </rPr>
          <t>NR-P.12:</t>
        </r>
        <r>
          <rPr>
            <sz val="9"/>
            <color indexed="81"/>
            <rFont val="Tahoma"/>
            <family val="2"/>
          </rPr>
          <t xml:space="preserve"> Important forest areas for biodiversity conservation </t>
        </r>
      </text>
    </comment>
    <comment ref="BP183" authorId="1">
      <text>
        <r>
          <rPr>
            <b/>
            <sz val="9"/>
            <color indexed="81"/>
            <rFont val="Tahoma"/>
            <family val="2"/>
          </rPr>
          <t xml:space="preserve">billy.tsekos:
NBSAP-P.97: Reforestation Policy and National Forest Policy 
</t>
        </r>
        <r>
          <rPr>
            <sz val="9"/>
            <color indexed="81"/>
            <rFont val="Tahoma"/>
            <family val="2"/>
          </rPr>
          <t xml:space="preserve">
</t>
        </r>
        <r>
          <rPr>
            <b/>
            <sz val="9"/>
            <color indexed="81"/>
            <rFont val="Tahoma"/>
            <family val="2"/>
          </rPr>
          <t>NBSAP-P.102: Goal 4.</t>
        </r>
        <r>
          <rPr>
            <sz val="9"/>
            <color indexed="81"/>
            <rFont val="Tahoma"/>
            <family val="2"/>
          </rPr>
          <t xml:space="preserve"> 
- Ensure that protected areas play a role in mitigating climate change
- Ensure that 30 percent of the nation’s sequestered carbon found in living terrestrial vegetation is captured inside protected areas; and for mangrove forests, with 80 percent to be protected in protected areas.
</t>
        </r>
      </text>
    </comment>
    <comment ref="BT183"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 xml:space="preserve">Little efforts other than donor funded programmes (JICA) have been undertaken to restore degraded catchments in Timor-Leste. The Government is yet to create national guidelines for site and species selection for different restoration activities (Priority Action 7; sub-action 7.3). Pending is also the preparation of a monitoring and evaluation system for rehabilitation activities in TimorLeste.
This, together with the lack of national guidelines for the rehabilitation of degraded catchments, compromises current reforestation work carried out by the government (Priority Action 7; sub-action 7.4). With nearly 80% of the country’s catchments being degraded, activities such as awareness raising, reforestation work and the establishment of baselines and proper monitoring and evaluation systems remain grossly underfunded by the State budget. In addition, the lack of biodiversity assessments makes it laborious to establish baselines for important catchment areas (Priority Action 10; sub-action 10.2). </t>
        </r>
      </text>
    </comment>
    <comment ref="BX183" authorId="1">
      <text>
        <r>
          <rPr>
            <b/>
            <sz val="9"/>
            <color indexed="81"/>
            <rFont val="Tahoma"/>
            <family val="2"/>
          </rPr>
          <t>billy.tsekos:</t>
        </r>
        <r>
          <rPr>
            <sz val="9"/>
            <color indexed="81"/>
            <rFont val="Tahoma"/>
            <family val="2"/>
          </rPr>
          <t xml:space="preserve">
</t>
        </r>
        <r>
          <rPr>
            <b/>
            <sz val="9"/>
            <color indexed="81"/>
            <rFont val="Tahoma"/>
            <family val="2"/>
          </rPr>
          <t xml:space="preserve">NBSAP-P.4: </t>
        </r>
        <r>
          <rPr>
            <sz val="9"/>
            <color indexed="81"/>
            <rFont val="Tahoma"/>
            <family val="2"/>
          </rPr>
          <t>Over exploitation and unsustainable use of natural resources, as well as habitat degradation and fragmentation are the main drivers of biodiversity loss in Timor-Leste. Pollution, invasive alien species, and climate change are also contributing factors to biodiversity loss.
Large-scale deforestation due to growing demand for fuel wood and the absence of alternative sources of energy has caused the continued decline of forest cover. Soil depletion in upland areas is heavy due to the widespread practice of ‘slash and burn’ farming methods. Sandlund, et al. (2001) reported that forest cover in Timor-Leste has decreased by almost 30 percent from 1972 to 1999. Only about 59 percent of the land area has some type of forest cover and the remaining primary forest vegetation is estimated at 1.7 percent (Democratic Republic of Timor-Leste, 2013a). The country has no sufficient timber for rebuilding and firewood. Assessment of areas of the different forest categories from 1990 to 2005 showed a decreasing area for modified natural forests but increasing areas for productive plantations. The trends in forest area from 1990 to 2010 showed an approximate decrease of 2000 square kilometers over a 10-year period (See Annex 1-The Natural Environments, Biodiversity and Ecosystems in Timor-Leste).
The management system of established PAs is currently inadequate. Most PAs that have been declared have no management plan and lack institutional mechanisms for effective management</t>
        </r>
      </text>
    </comment>
    <comment ref="CC183" authorId="1">
      <text>
        <r>
          <rPr>
            <b/>
            <sz val="9"/>
            <color indexed="81"/>
            <rFont val="Tahoma"/>
            <family val="2"/>
          </rPr>
          <t>billy.tsekos:</t>
        </r>
        <r>
          <rPr>
            <sz val="9"/>
            <color indexed="81"/>
            <rFont val="Tahoma"/>
            <family val="2"/>
          </rPr>
          <t xml:space="preserve">
</t>
        </r>
        <r>
          <rPr>
            <b/>
            <sz val="9"/>
            <color indexed="81"/>
            <rFont val="Tahoma"/>
            <family val="2"/>
          </rPr>
          <t>NBSAP-P.6:</t>
        </r>
        <r>
          <rPr>
            <sz val="9"/>
            <color indexed="81"/>
            <rFont val="Tahoma"/>
            <family val="2"/>
          </rPr>
          <t xml:space="preserve"> Table 1: Identified Problems, Issues and Threats by Ecosystem and Their Proposed Solutions </t>
        </r>
      </text>
    </comment>
    <comment ref="CK183" authorId="1">
      <text>
        <r>
          <rPr>
            <b/>
            <sz val="9"/>
            <color indexed="81"/>
            <rFont val="Tahoma"/>
            <family val="2"/>
          </rPr>
          <t>billy.tsekos:</t>
        </r>
        <r>
          <rPr>
            <sz val="9"/>
            <color indexed="81"/>
            <rFont val="Tahoma"/>
            <family val="2"/>
          </rPr>
          <t xml:space="preserve">
</t>
        </r>
        <r>
          <rPr>
            <b/>
            <sz val="9"/>
            <color indexed="81"/>
            <rFont val="Tahoma"/>
            <family val="2"/>
          </rPr>
          <t xml:space="preserve">NBSAP-P75: </t>
        </r>
        <r>
          <rPr>
            <sz val="9"/>
            <color indexed="81"/>
            <rFont val="Tahoma"/>
            <family val="2"/>
          </rPr>
          <t xml:space="preserve">Figure 11. Decline in carbon stocks in forest lands from 1972 – 1999 </t>
        </r>
      </text>
    </comment>
    <comment ref="CP183" authorId="1">
      <text>
        <r>
          <rPr>
            <b/>
            <sz val="9"/>
            <color indexed="81"/>
            <rFont val="Tahoma"/>
            <family val="2"/>
          </rPr>
          <t>billy.tsekos:</t>
        </r>
        <r>
          <rPr>
            <sz val="9"/>
            <color indexed="81"/>
            <rFont val="Tahoma"/>
            <family val="2"/>
          </rPr>
          <t xml:space="preserve">
</t>
        </r>
        <r>
          <rPr>
            <b/>
            <sz val="9"/>
            <color indexed="81"/>
            <rFont val="Tahoma"/>
            <family val="2"/>
          </rPr>
          <t xml:space="preserve">NBSAP-P.xx: </t>
        </r>
        <r>
          <rPr>
            <sz val="9"/>
            <color indexed="81"/>
            <rFont val="Tahoma"/>
            <family val="2"/>
          </rPr>
          <t xml:space="preserve">Priority Strategy 3: Building climate-resilient ecosystems through effectively managing protected areas and reducing threats to biodiversity
NBSAP-P.19: Timor Leste will take steps to adapt to, and be resilient to, long-term climate change,e.g., by fostering large-scale use of irrigation to protect agriculture from fluctuations in rainfall. 
</t>
        </r>
      </text>
    </comment>
    <comment ref="CQ183" authorId="1">
      <text>
        <r>
          <rPr>
            <b/>
            <sz val="9"/>
            <color indexed="81"/>
            <rFont val="Tahoma"/>
            <family val="2"/>
          </rPr>
          <t>billy.tsekos:
NBSAP-P.xiv:</t>
        </r>
        <r>
          <rPr>
            <sz val="9"/>
            <color indexed="81"/>
            <rFont val="Tahoma"/>
            <family val="2"/>
          </rPr>
          <t xml:space="preserve">The Strategy is closely anchored on the National Strategic Development Plan of TimorLeste (2011-2030). It is consistent with the country’s other sectoral policy frameworks such as the National Adaptation Programme of Action on Climate Change (December 2010), the National Action Programme to Combat Land Degradation (February 2009), the Fisheries Sector Plan and the Forestry Sector Plan. 
</t>
        </r>
        <r>
          <rPr>
            <b/>
            <sz val="9"/>
            <color indexed="81"/>
            <rFont val="Tahoma"/>
            <family val="2"/>
          </rPr>
          <t>NBSAP-P.5:</t>
        </r>
        <r>
          <rPr>
            <sz val="9"/>
            <color indexed="81"/>
            <rFont val="Tahoma"/>
            <family val="2"/>
          </rPr>
          <t xml:space="preserve">Timor-Leste is highly vulnerable to multiple natural disasters, as well as the negative impacts of climate change. During dry months, water becomes scarce especially in the Betano region and the northern coast of the Tutuala region. When the whole of Timor-Leste dries up, a severe water crisis occurs especially for irrigation and clean water. These environmental circumstances and the heavy reliance on a limited range of economic resources will worsen the country’s vulnerability to climate change. A proactive approach and investments in disaster prevention, mitigation, preparedness and response would reduce disaster risks and contribute to biodiversity conservation
</t>
        </r>
        <r>
          <rPr>
            <b/>
            <sz val="9"/>
            <color indexed="81"/>
            <rFont val="Tahoma"/>
            <family val="2"/>
          </rPr>
          <t>Strategic Development Plan (2011-2030): Targets Related to National Biodiversity Strategies</t>
        </r>
        <r>
          <rPr>
            <sz val="9"/>
            <color indexed="81"/>
            <rFont val="Tahoma"/>
            <family val="2"/>
          </rPr>
          <t xml:space="preserve"> 
Seventy percent of the National Adaptation Programmes of Actions under the United Nations Framework Convention on Climate Change will be implemented.
</t>
        </r>
        <r>
          <rPr>
            <b/>
            <sz val="9"/>
            <color indexed="81"/>
            <rFont val="Tahoma"/>
            <family val="2"/>
          </rPr>
          <t xml:space="preserve">
NBSAP-P.98: </t>
        </r>
        <r>
          <rPr>
            <sz val="9"/>
            <color indexed="81"/>
            <rFont val="Tahoma"/>
            <family val="2"/>
          </rPr>
          <t>Timor Leste’s National Adaptation Programme of Action (NAPA) on Climate Change 2010 states that the overarching vision is to make the Timorese people more resilient to climate change, recognizing their high vulnerability in an economy that is dominated by subsistence agriculture. Adaptation measures will be focused on reducing the adverse effects of climate change and promoting sustainable development. These measures will build on existing strategies and plans across all sectors including the</t>
        </r>
      </text>
    </comment>
    <comment ref="CV183" authorId="1">
      <text>
        <r>
          <rPr>
            <b/>
            <sz val="9"/>
            <color indexed="81"/>
            <rFont val="Tahoma"/>
            <family val="2"/>
          </rPr>
          <t>billy.tsekos:</t>
        </r>
        <r>
          <rPr>
            <sz val="9"/>
            <color indexed="81"/>
            <rFont val="Tahoma"/>
            <family val="2"/>
          </rPr>
          <t xml:space="preserve">
</t>
        </r>
        <r>
          <rPr>
            <b/>
            <sz val="9"/>
            <color indexed="81"/>
            <rFont val="Tahoma"/>
            <family val="2"/>
          </rPr>
          <t>National Action Plan (NAP) to Combat Land Degradation</t>
        </r>
        <r>
          <rPr>
            <sz val="9"/>
            <color indexed="81"/>
            <rFont val="Tahoma"/>
            <family val="2"/>
          </rPr>
          <t xml:space="preserve">
</t>
        </r>
        <r>
          <rPr>
            <b/>
            <sz val="9"/>
            <color indexed="81"/>
            <rFont val="Tahoma"/>
            <family val="2"/>
          </rPr>
          <t xml:space="preserve">Goal: </t>
        </r>
        <r>
          <rPr>
            <sz val="9"/>
            <color indexed="81"/>
            <rFont val="Tahoma"/>
            <family val="2"/>
          </rPr>
          <t xml:space="preserve">Ensure the sustainable management of agricultural, forest and other terrestrial lands of Timor-Leste to contribute positively to the environmental, economic and social well-being of the nation.
</t>
        </r>
        <r>
          <rPr>
            <b/>
            <sz val="9"/>
            <color indexed="81"/>
            <rFont val="Tahoma"/>
            <family val="2"/>
          </rPr>
          <t>Objectives:</t>
        </r>
        <r>
          <rPr>
            <sz val="9"/>
            <color indexed="81"/>
            <rFont val="Tahoma"/>
            <family val="2"/>
          </rPr>
          <t xml:space="preserve"> Lay out priority actions towards controlling factors that contribute to and mitigate the effects of land degradation in TimorLeste in an integrated manner and as  a prerequisite for the sustainable livelihoods of the people.
</t>
        </r>
        <r>
          <rPr>
            <b/>
            <sz val="9"/>
            <color indexed="81"/>
            <rFont val="Tahoma"/>
            <family val="2"/>
          </rPr>
          <t xml:space="preserve">Long Term NAP Objectives:
</t>
        </r>
        <r>
          <rPr>
            <sz val="9"/>
            <color indexed="81"/>
            <rFont val="Tahoma"/>
            <family val="2"/>
          </rPr>
          <t xml:space="preserve">
* Effective implementation of sustainable agriculture and forestry through provision of effective incentive and regulation
* Effective water resource management
* Expansion in woodland areas to achieve biodiversity conservation and increase carbon storage capacity to help tackle global warming
* Sustainable management of the land to maintain its local landscape character and responsive to ecosystemrequirements
* Restoration of damaged lands and good management of soils, to reduce soil compaction and erosion </t>
        </r>
      </text>
    </comment>
    <comment ref="CW183" authorId="1">
      <text>
        <r>
          <rPr>
            <b/>
            <sz val="9"/>
            <color indexed="81"/>
            <rFont val="Tahoma"/>
            <family val="2"/>
          </rPr>
          <t xml:space="preserve">billy.tsekos:
NBSAP-P.xiv: </t>
        </r>
        <r>
          <rPr>
            <sz val="9"/>
            <color indexed="81"/>
            <rFont val="Tahoma"/>
            <family val="2"/>
          </rPr>
          <t>Lack of effective management system for protected areas. Overall, there is inadequate management system for the 30 declared protected areas.</t>
        </r>
        <r>
          <rPr>
            <b/>
            <sz val="9"/>
            <color indexed="81"/>
            <rFont val="Tahoma"/>
            <family val="2"/>
          </rPr>
          <t xml:space="preserve">
</t>
        </r>
        <r>
          <rPr>
            <sz val="9"/>
            <color indexed="81"/>
            <rFont val="Tahoma"/>
            <family val="2"/>
          </rPr>
          <t xml:space="preserve">
</t>
        </r>
        <r>
          <rPr>
            <b/>
            <sz val="9"/>
            <color indexed="81"/>
            <rFont val="Tahoma"/>
            <family val="2"/>
          </rPr>
          <t>NBSAP-P.87:</t>
        </r>
        <r>
          <rPr>
            <sz val="9"/>
            <color indexed="81"/>
            <rFont val="Tahoma"/>
            <family val="2"/>
          </rPr>
          <t>The designated protected areas contain the majority of the remaining primary forest cover in Timor-Leste and majority of the areas designated are montane and have high species endemism. Lowland forest areas, typically higher in biodiversity and with greater number of threatened species, are not well represented. Jaco Island and Lake Iralalaru areas have been surveyed by BirdLife International and the Directorate of Environment and are among the first to be proposed as protected areas. Management plans, including management of tourism have yet to be developed for these protected areas</t>
        </r>
      </text>
    </comment>
    <comment ref="H184" authorId="2">
      <text>
        <r>
          <rPr>
            <b/>
            <sz val="9"/>
            <color indexed="81"/>
            <rFont val="Calibri"/>
            <family val="2"/>
          </rPr>
          <t>Billy Tsekos:</t>
        </r>
        <r>
          <rPr>
            <sz val="9"/>
            <color indexed="81"/>
            <rFont val="Calibri"/>
            <family val="2"/>
          </rPr>
          <t xml:space="preserve">
2015</t>
        </r>
      </text>
    </comment>
    <comment ref="L184" authorId="0">
      <text>
        <r>
          <rPr>
            <b/>
            <sz val="9"/>
            <color indexed="81"/>
            <rFont val="Tahoma"/>
            <family val="2"/>
          </rPr>
          <t xml:space="preserve">Committed, but finalizing ha target
</t>
        </r>
      </text>
    </comment>
    <comment ref="W184" authorId="2">
      <text>
        <r>
          <rPr>
            <b/>
            <sz val="9"/>
            <color indexed="81"/>
            <rFont val="Tahoma"/>
            <family val="2"/>
          </rPr>
          <t>Billy Tsekos:</t>
        </r>
        <r>
          <rPr>
            <sz val="9"/>
            <color indexed="81"/>
            <rFont val="Tahoma"/>
            <family val="2"/>
          </rPr>
          <t xml:space="preserve">
Plant formations have been significantly degraded and the rate of deforestation stands at around 15,000 ha/year, compared with a pace of reforestation that barely exceeds 3,000 ha
annually.
(ii)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r>
      </text>
    </comment>
    <comment ref="Z184" authorId="2">
      <text>
        <r>
          <rPr>
            <b/>
            <sz val="9"/>
            <color indexed="81"/>
            <rFont val="Tahoma"/>
            <family val="2"/>
          </rPr>
          <t>Billy Tsekos:</t>
        </r>
        <r>
          <rPr>
            <sz val="9"/>
            <color indexed="81"/>
            <rFont val="Tahoma"/>
            <family val="2"/>
          </rPr>
          <t xml:space="preserve">
</t>
        </r>
        <r>
          <rPr>
            <b/>
            <sz val="9"/>
            <color indexed="81"/>
            <rFont val="Tahoma"/>
            <family val="2"/>
          </rPr>
          <t xml:space="preserve"> NBSAP-p.21</t>
        </r>
        <r>
          <rPr>
            <sz val="9"/>
            <color indexed="81"/>
            <rFont val="Tahoma"/>
            <family val="2"/>
          </rPr>
          <t>: Les sols ferrugineux, à eux seuls, représentent plus de 50% des sols du pays. 
 les terres forestières regroupent les terres d’une superficie minimale comprise entre 0,05 et 1,0 hectare portant des arbres dont le houppier couvre plus de 10 à 30% de la surface (ou ayant une densité de peuplement équivalente) et qui peuvent atteindre à maturité une hauteur minimale de 2 à 5 mètres. Il s’agit des forêts semi-décidues, les forêts claires, les forêts sèches, les savanes (savanes boisées, arborées, arbustives), les mangroves et les plantations forestières y ont été rangées. La superficie de l’ensemble des terres forestières est évaluée à 3 494 800 ha en 2010;
 les terres cultivées constituées essentiellement de champs (de céréales, de légumineuses, de manioc d’igname, etc,), des parcs agroforestiers (Vitellaria paradoxa, Parkia biglobosa, Elaeis guineensis, Dialium guineense) et des jachères
soit 1 972 100 ha;
 les prairies qui regroupent les formations herbeuses des différentes plaines inondables (134 900 ha);
 les zones humides et les plans d’eau constituées d’écosystèmes aquatiques tels que les rivières, fleuves, lacs, barrage, lagunes, marres, etc (22 600 ha);
 les établissements constitués des différentes agglomérations (villes, villages), les infrastructures, les terres servant aux extractions minières (carrière d’extraction de calcaire, de phosphate, gneiss, marbre) et les sols nus (59 000
ha)</t>
        </r>
      </text>
    </comment>
    <comment ref="AH184" authorId="2">
      <text>
        <r>
          <rPr>
            <b/>
            <sz val="9"/>
            <color indexed="81"/>
            <rFont val="Tahoma"/>
            <family val="2"/>
          </rPr>
          <t xml:space="preserve">Billy Tsekos:
</t>
        </r>
        <r>
          <rPr>
            <sz val="9"/>
            <color indexed="81"/>
            <rFont val="Tahoma"/>
            <family val="2"/>
          </rPr>
          <t xml:space="preserve">
</t>
        </r>
        <r>
          <rPr>
            <b/>
            <sz val="9"/>
            <color indexed="81"/>
            <rFont val="Tahoma"/>
            <family val="2"/>
          </rPr>
          <t>NBSAP-P. 22:</t>
        </r>
        <r>
          <rPr>
            <sz val="9"/>
            <color indexed="81"/>
            <rFont val="Tahoma"/>
            <family val="2"/>
          </rPr>
          <t xml:space="preserve"> Tableau 1 : Classes d’utilisation et d’occupation des terres (1975, 2000 et2010)
</t>
        </r>
        <r>
          <rPr>
            <b/>
            <sz val="9"/>
            <color indexed="81"/>
            <rFont val="Tahoma"/>
            <family val="2"/>
          </rPr>
          <t>NR-P.17:</t>
        </r>
        <r>
          <rPr>
            <sz val="9"/>
            <color indexed="81"/>
            <rFont val="Tahoma"/>
            <family val="2"/>
          </rPr>
          <t xml:space="preserve">  Les surfaces agricoles sont passées de 8,22% en 1975 à 32,99% en 2010 représentant une augmentation de 301% des surfaces cultivées.
</t>
        </r>
        <r>
          <rPr>
            <b/>
            <sz val="9"/>
            <color indexed="81"/>
            <rFont val="Tahoma"/>
            <family val="2"/>
          </rPr>
          <t xml:space="preserve">
NR-P.18:  Tableau 5:</t>
        </r>
        <r>
          <rPr>
            <sz val="9"/>
            <color indexed="81"/>
            <rFont val="Tahoma"/>
            <family val="2"/>
          </rPr>
          <t xml:space="preserve"> Tendances de l’occupation et d’utilisation des terres (1975, 2000 et 2010) (p18) - Difference entre 2000 et 2010: Forêts semi-décidues/ sèches/ claires (-22%), Forêts riveraines (-31%), Savanes boisées/ arborées/ arbustives (-10%), Plantations (+378%), Zones agricoles (+32%), Plans d'eau (-32%), sol nu (+325%), carriere (+50%)</t>
        </r>
      </text>
    </comment>
    <comment ref="AO184" authorId="2">
      <text>
        <r>
          <rPr>
            <b/>
            <sz val="9"/>
            <color indexed="81"/>
            <rFont val="Tahoma"/>
            <family val="2"/>
          </rPr>
          <t>Billy Tsekos:</t>
        </r>
        <r>
          <rPr>
            <sz val="9"/>
            <color indexed="81"/>
            <rFont val="Tahoma"/>
            <family val="2"/>
          </rPr>
          <t xml:space="preserve">
</t>
        </r>
        <r>
          <rPr>
            <b/>
            <sz val="9"/>
            <color indexed="81"/>
            <rFont val="Tahoma"/>
            <family val="2"/>
          </rPr>
          <t>NBSAP-P. 23</t>
        </r>
        <r>
          <rPr>
            <sz val="9"/>
            <color indexed="81"/>
            <rFont val="Tahoma"/>
            <family val="2"/>
          </rPr>
          <t>: Figure 3 : Occupation des terres (Source: USGS EROS (2013))</t>
        </r>
      </text>
    </comment>
    <comment ref="BA184" authorId="0">
      <text>
        <r>
          <rPr>
            <b/>
            <sz val="9"/>
            <color indexed="81"/>
            <rFont val="Tahoma"/>
            <family val="2"/>
          </rPr>
          <t>NBSAP-p.68: 
Objectif 4</t>
        </r>
        <r>
          <rPr>
            <sz val="9"/>
            <color indexed="81"/>
            <rFont val="Tahoma"/>
            <family val="2"/>
          </rPr>
          <t xml:space="preserve"> Renforcer les cadres juridique, institutionnel et la gouvernance d’ici 2018 afin de créer un environnement favorable à la lutte effective contre l’érosion de la biodiversité
</t>
        </r>
        <r>
          <rPr>
            <b/>
            <sz val="9"/>
            <color indexed="81"/>
            <rFont val="Tahoma"/>
            <family val="2"/>
          </rPr>
          <t>Objectif 5</t>
        </r>
        <r>
          <rPr>
            <sz val="9"/>
            <color indexed="81"/>
            <rFont val="Tahoma"/>
            <family val="2"/>
          </rPr>
          <t xml:space="preserve"> Réduire à l’horizon 2020, le rythme de dégradation et de fragmentation des habitats naturels à 2%
</t>
        </r>
        <r>
          <rPr>
            <b/>
            <sz val="9"/>
            <color indexed="81"/>
            <rFont val="Tahoma"/>
            <family val="2"/>
          </rPr>
          <t xml:space="preserve">
Objectif 7</t>
        </r>
        <r>
          <rPr>
            <sz val="9"/>
            <color indexed="81"/>
            <rFont val="Tahoma"/>
            <family val="2"/>
          </rPr>
          <t xml:space="preserve">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r>
      </text>
    </comment>
    <comment ref="BC184" authorId="2">
      <text>
        <r>
          <rPr>
            <b/>
            <sz val="9"/>
            <color indexed="81"/>
            <rFont val="Tahoma"/>
            <family val="2"/>
          </rPr>
          <t>Billy Tsekos:</t>
        </r>
        <r>
          <rPr>
            <sz val="9"/>
            <color indexed="81"/>
            <rFont val="Tahoma"/>
            <family val="2"/>
          </rPr>
          <t xml:space="preserve">
2%</t>
        </r>
      </text>
    </comment>
    <comment ref="BD184" authorId="2">
      <text>
        <r>
          <rPr>
            <b/>
            <sz val="9"/>
            <color indexed="81"/>
            <rFont val="Tahoma"/>
            <family val="2"/>
          </rPr>
          <t>Billy Tsekos:</t>
        </r>
        <r>
          <rPr>
            <sz val="9"/>
            <color indexed="81"/>
            <rFont val="Tahoma"/>
            <family val="2"/>
          </rPr>
          <t xml:space="preserve">
2018 &amp; 2020</t>
        </r>
      </text>
    </comment>
    <comment ref="BH184" authorId="2">
      <text>
        <r>
          <rPr>
            <b/>
            <sz val="9"/>
            <color indexed="81"/>
            <rFont val="Tahoma"/>
            <family val="2"/>
          </rPr>
          <t>Billy Tsekos:
NBSAP-P.76:</t>
        </r>
        <r>
          <rPr>
            <sz val="9"/>
            <color indexed="81"/>
            <rFont val="Tahoma"/>
            <family val="2"/>
          </rPr>
          <t xml:space="preserve">
</t>
        </r>
        <r>
          <rPr>
            <b/>
            <sz val="9"/>
            <color indexed="81"/>
            <rFont val="Tahoma"/>
            <family val="2"/>
          </rPr>
          <t>Objectif 15:</t>
        </r>
        <r>
          <rPr>
            <sz val="9"/>
            <color indexed="81"/>
            <rFont val="Tahoma"/>
            <family val="2"/>
          </rPr>
          <t xml:space="preserve"> Etablir d’ici à 2018, une cartographie de l’ensemble des écosystèmes terrestres, aquatiques et marins importantes pour la conservation de la diversité biologique afin de garantir la durabilité de l’utilisation des ressources biologiques.
Il s’agit de sécuriser les écosystèmes à travers des engagements quantitatifs (superficie) et qualitatifs (fonctionnalité). Ces dispositions favorisent la préservation et la restauration des écosystèmes mais également le suivi. Cet objectif vise surtout à éviter la fragmentation des écosystèmes car celle-ci diminue considérablement la capacité à s’adapter et à fournir des services écosystémiques
</t>
        </r>
        <r>
          <rPr>
            <b/>
            <sz val="9"/>
            <color indexed="81"/>
            <rFont val="Tahoma"/>
            <family val="2"/>
          </rPr>
          <t xml:space="preserve">
NBSAP-p.68: 
Objectif 4:</t>
        </r>
        <r>
          <rPr>
            <sz val="9"/>
            <color indexed="81"/>
            <rFont val="Tahoma"/>
            <family val="2"/>
          </rPr>
          <t xml:space="preserve"> Renforcer les cadres juridique, institutionnel et la gouvernance d’ici 2018 afin de créer un environnement favorable à la lutte effective contre l’érosion de la biodiversité</t>
        </r>
      </text>
    </comment>
    <comment ref="BI184" authorId="0">
      <text>
        <r>
          <rPr>
            <b/>
            <sz val="9"/>
            <color indexed="81"/>
            <rFont val="Tahoma"/>
            <family val="2"/>
          </rPr>
          <t>NBSAP-P.65: 
Objectif 16</t>
        </r>
        <r>
          <rPr>
            <sz val="9"/>
            <color indexed="81"/>
            <rFont val="Tahoma"/>
            <family val="2"/>
          </rPr>
          <t xml:space="preserve"> Mettre en place d’ici à 2018 un système de référence MRV (Mesure, Rapportage et Vérification) afin de renforcer la résilience des écosystèmes et de la biodiversité contre les changements climatiques.
</t>
        </r>
      </text>
    </comment>
    <comment ref="BL184" authorId="2">
      <text>
        <r>
          <rPr>
            <b/>
            <sz val="9"/>
            <color indexed="81"/>
            <rFont val="Tahoma"/>
            <family val="2"/>
          </rPr>
          <t xml:space="preserve">Billy Tsekos:
NBSAP-p.41: Figure 4 : </t>
        </r>
        <r>
          <rPr>
            <sz val="9"/>
            <color indexed="81"/>
            <rFont val="Tahoma"/>
            <family val="2"/>
          </rPr>
          <t>Principales zones potentielles de conservation de la biodiversitéau Togo</t>
        </r>
        <r>
          <rPr>
            <b/>
            <sz val="9"/>
            <color indexed="81"/>
            <rFont val="Tahoma"/>
            <family val="2"/>
          </rPr>
          <t xml:space="preserve">
</t>
        </r>
        <r>
          <rPr>
            <sz val="9"/>
            <color indexed="81"/>
            <rFont val="Tahoma"/>
            <family val="2"/>
          </rPr>
          <t xml:space="preserve">
Objectif 16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r>
      </text>
    </comment>
    <comment ref="BP184" authorId="2">
      <text>
        <r>
          <rPr>
            <b/>
            <sz val="9"/>
            <color indexed="81"/>
            <rFont val="Tahoma"/>
            <family val="2"/>
          </rPr>
          <t>Billy Tsekos:</t>
        </r>
        <r>
          <rPr>
            <sz val="9"/>
            <color indexed="81"/>
            <rFont val="Tahoma"/>
            <family val="2"/>
          </rPr>
          <t xml:space="preserve">
</t>
        </r>
        <r>
          <rPr>
            <b/>
            <sz val="9"/>
            <color indexed="81"/>
            <rFont val="Tahoma"/>
            <family val="2"/>
          </rPr>
          <t>NBSAP-P. 38:</t>
        </r>
        <r>
          <rPr>
            <sz val="9"/>
            <color indexed="81"/>
            <rFont val="Tahoma"/>
            <family val="2"/>
          </rPr>
          <t xml:space="preserve">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r>
      </text>
    </comment>
    <comment ref="BT184" authorId="2">
      <text>
        <r>
          <rPr>
            <b/>
            <sz val="9"/>
            <color indexed="81"/>
            <rFont val="Tahoma"/>
            <family val="2"/>
          </rPr>
          <t>Billy Tsekos:</t>
        </r>
        <r>
          <rPr>
            <sz val="9"/>
            <color indexed="81"/>
            <rFont val="Tahoma"/>
            <family val="2"/>
          </rPr>
          <t xml:space="preserve">
</t>
        </r>
        <r>
          <rPr>
            <b/>
            <sz val="9"/>
            <color indexed="81"/>
            <rFont val="Tahoma"/>
            <family val="2"/>
          </rPr>
          <t>NBSAP-P. 60:</t>
        </r>
        <r>
          <rPr>
            <sz val="9"/>
            <color indexed="81"/>
            <rFont val="Tahoma"/>
            <family val="2"/>
          </rPr>
          <t xml:space="preserve"> restaurer au moins 15% des zones dégradées et faire un effort spécial pour réduire les pressions qui pèsent sur les récifs coralliens.
</t>
        </r>
        <r>
          <rPr>
            <b/>
            <sz val="9"/>
            <color indexed="81"/>
            <rFont val="Tahoma"/>
            <family val="2"/>
          </rPr>
          <t>NR-P.54:</t>
        </r>
        <r>
          <rPr>
            <sz val="9"/>
            <color indexed="81"/>
            <rFont val="Tahoma"/>
            <family val="2"/>
          </rPr>
          <t xml:space="preserve">  Depuis 2009, des initiatives en matière de reboisement ont été prises à différents niveaux et ont contribué à l’effort de reboisement estimé à environ 15000 ha de forêts ces quatre dernières années</t>
        </r>
      </text>
    </comment>
    <comment ref="BX184" authorId="2">
      <text>
        <r>
          <rPr>
            <b/>
            <sz val="9"/>
            <color indexed="81"/>
            <rFont val="Tahoma"/>
            <family val="2"/>
          </rPr>
          <t>Billy Tsekos:</t>
        </r>
        <r>
          <rPr>
            <sz val="9"/>
            <color indexed="81"/>
            <rFont val="Tahoma"/>
            <family val="2"/>
          </rPr>
          <t xml:space="preserve">
</t>
        </r>
        <r>
          <rPr>
            <b/>
            <sz val="9"/>
            <color indexed="81"/>
            <rFont val="Tahoma"/>
            <family val="2"/>
          </rPr>
          <t xml:space="preserve">NBSAP-P. 35: </t>
        </r>
        <r>
          <rPr>
            <sz val="9"/>
            <color indexed="81"/>
            <rFont val="Tahoma"/>
            <family val="2"/>
          </rPr>
          <t xml:space="preserve">Le sous-bois des forêts semi-décidues de la zone forestière du pays est aujourd’hui occupé presque totalement par des cultures de rente (caféiers et cacaoyers) qui contribuent à la dégradation de ces écosystèmes. Dans les îlots reliques, le sous-bois est dominé par Piper umbellatum, Dicranolepis grandiflora, Lea guineensis, Rothmania longiflora, Pteris togoensis etc. Sous la forte pression anthropique, ces forêts se transforment en formations graminéennes continues, régulièrement parcourus par les feux de végétation.
</t>
        </r>
        <r>
          <rPr>
            <b/>
            <sz val="9"/>
            <color indexed="81"/>
            <rFont val="Tahoma"/>
            <family val="2"/>
          </rPr>
          <t>NBSAP-P. 51:</t>
        </r>
        <r>
          <rPr>
            <sz val="9"/>
            <color indexed="81"/>
            <rFont val="Tahoma"/>
            <family val="2"/>
          </rPr>
          <t xml:space="preserve"> Les écosystèmes de mangroves, localisés dans l’extrême sud-est du pays autour du chenal de Gbaga et ses rivières affluentes, couvrent actuellement moins de 1000 ha. Elles comprennent deux espèces de palétuviers: Rhizophora racemosa et Avicennia germinans et constituent un écosystème très productif et à usages multiples (Afidégnon, 1999). Malheureusement, la surexploitation des ressources végétales et animales et les modifications de salinité induites par la construction du barrage de Nangbéto, menacent la survie de ces écosystèmes </t>
        </r>
      </text>
    </comment>
    <comment ref="CC184" authorId="2">
      <text>
        <r>
          <rPr>
            <b/>
            <sz val="9"/>
            <color indexed="81"/>
            <rFont val="Tahoma"/>
            <family val="2"/>
          </rPr>
          <t>Billy Tsekos:</t>
        </r>
        <r>
          <rPr>
            <sz val="9"/>
            <color indexed="81"/>
            <rFont val="Tahoma"/>
            <family val="2"/>
          </rPr>
          <t xml:space="preserve">
</t>
        </r>
        <r>
          <rPr>
            <b/>
            <sz val="9"/>
            <color indexed="81"/>
            <rFont val="Tahoma"/>
            <family val="2"/>
          </rPr>
          <t xml:space="preserve">NBSAP- P. 40: </t>
        </r>
        <r>
          <rPr>
            <sz val="9"/>
            <color indexed="81"/>
            <rFont val="Tahoma"/>
            <family val="2"/>
          </rPr>
          <t>La gestion de ces forêts communautaires constitue aujourd’hui une des alternatives crédibles permettant de préserver et de restaurer les zones dégradées afin de conserver la biodiversité associée. Cette gestion devrait se faire dans une vision de satisfaction des besoins des populations locales et de création de revenus par l’exploitation rationnelle des ressources. Par ailleurs, l’érection de ces domaines en forêt communautaire permet de préserver les autres aires protégées des destructions occasionnées par les activités anthropiques.</t>
        </r>
      </text>
    </comment>
    <comment ref="CH184" authorId="2">
      <text>
        <r>
          <rPr>
            <b/>
            <sz val="9"/>
            <color indexed="81"/>
            <rFont val="Tahoma"/>
            <family val="2"/>
          </rPr>
          <t>Billy Tsekos:</t>
        </r>
        <r>
          <rPr>
            <sz val="9"/>
            <color indexed="81"/>
            <rFont val="Tahoma"/>
            <family val="2"/>
          </rPr>
          <t xml:space="preserve">
</t>
        </r>
        <r>
          <rPr>
            <b/>
            <sz val="9"/>
            <color indexed="81"/>
            <rFont val="Tahoma"/>
            <family val="2"/>
          </rPr>
          <t xml:space="preserve">NBSAP-P.69: </t>
        </r>
        <r>
          <rPr>
            <sz val="9"/>
            <color indexed="81"/>
            <rFont val="Tahoma"/>
            <family val="2"/>
          </rPr>
          <t>L’estimation du stock de carbone dans les aires protégées et autres écosystèmes naturels et le maintien du stock de carbone existant ouvre des opportunités du crédit carbone généré par la REDD+. Il s’agira de maîtriser les activités actuellement très destructrices des espaces naturels en sécurisant les AP, en restructurant la filière bois et en assurant la professionnalisation des acteurs de cette filière à travers le renforcement des moyens d’investissement du secteur privé.</t>
        </r>
      </text>
    </comment>
    <comment ref="CJ184" authorId="2">
      <text>
        <r>
          <rPr>
            <b/>
            <sz val="9"/>
            <color indexed="81"/>
            <rFont val="Tahoma"/>
            <family val="2"/>
          </rPr>
          <t xml:space="preserve">Billy Tsekos:
NBSAP-P.65: </t>
        </r>
        <r>
          <rPr>
            <sz val="9"/>
            <color indexed="81"/>
            <rFont val="Tahoma"/>
            <family val="2"/>
          </rPr>
          <t xml:space="preserve">
</t>
        </r>
        <r>
          <rPr>
            <b/>
            <sz val="9"/>
            <color indexed="81"/>
            <rFont val="Tahoma"/>
            <family val="2"/>
          </rPr>
          <t xml:space="preserve">Objectif 16 </t>
        </r>
        <r>
          <rPr>
            <sz val="9"/>
            <color indexed="81"/>
            <rFont val="Tahoma"/>
            <family val="2"/>
          </rPr>
          <t xml:space="preserve">Mettre en place d’ici à 2018 un système de référence MRV (Mesure, Rapportage et Vérification) afin de renforcer la résilience des écosystèmes et de la biodiversité contre les changements climatiques
Cet objectif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r>
      </text>
    </comment>
    <comment ref="CP184" authorId="2">
      <text>
        <r>
          <rPr>
            <b/>
            <sz val="9"/>
            <color indexed="81"/>
            <rFont val="Tahoma"/>
            <family val="2"/>
          </rPr>
          <t>Billy Tsekos:</t>
        </r>
        <r>
          <rPr>
            <sz val="9"/>
            <color indexed="81"/>
            <rFont val="Tahoma"/>
            <family val="2"/>
          </rPr>
          <t xml:space="preserve">
</t>
        </r>
        <r>
          <rPr>
            <b/>
            <sz val="9"/>
            <color indexed="81"/>
            <rFont val="Tahoma"/>
            <family val="2"/>
          </rPr>
          <t xml:space="preserve">NBSAP-P.68: </t>
        </r>
        <r>
          <rPr>
            <sz val="9"/>
            <color indexed="81"/>
            <rFont val="Tahoma"/>
            <family val="2"/>
          </rPr>
          <t xml:space="preserve">Le Togo dispose d’une Politique Nationale d’Aménagement du Territoire, adoptée en septembre 2009. Celle-ci devra lever des défis majeurs de l’heure, notamment (i) connaître, planifier, arbitrer et observer le territoire pour toute intervention et (ii) développer une pratique d’aménagement du territoire par la mise en place des cadres de cohérence spatiale des actions nationales et régionales de développement. L’avènement d’un schéma national d’aménagement du territoire pourrait renforcer la résilience et  la fonctionnalité des écosystèmes par rapport à la conservation de la biodiversité.
</t>
        </r>
        <r>
          <rPr>
            <b/>
            <sz val="9"/>
            <color indexed="81"/>
            <rFont val="Tahoma"/>
            <family val="2"/>
          </rPr>
          <t xml:space="preserve">NBSAP-P.75: </t>
        </r>
        <r>
          <rPr>
            <sz val="9"/>
            <color indexed="81"/>
            <rFont val="Tahoma"/>
            <family val="2"/>
          </rPr>
          <t xml:space="preserve">Au titre de cet objectif, une attention majeure est accordée à la conservation de la diversité génétique (animale, végétale, fongique et microbienne) domestique et sauvage. Leur fonctionnement et leur adaptation au changement climatique, leurs développements économiques (pharmaceutique, médicales, agroalimentaire,cosmétique) sont privilégiés. La résilience et la fonctionnalité des écosystèmes devront être maintenues voire renforcées et la conservation in situ et ex situ et sa gestion devront être utilisés au cas échéant pour sécuriser des taxons menacés à court et moyen termes.
</t>
        </r>
      </text>
    </comment>
    <comment ref="CV184" authorId="2">
      <text>
        <r>
          <rPr>
            <b/>
            <sz val="9"/>
            <color indexed="81"/>
            <rFont val="Tahoma"/>
            <family val="2"/>
          </rPr>
          <t>Billy Tsekos:</t>
        </r>
        <r>
          <rPr>
            <sz val="9"/>
            <color indexed="81"/>
            <rFont val="Tahoma"/>
            <family val="2"/>
          </rPr>
          <t xml:space="preserve">
</t>
        </r>
        <r>
          <rPr>
            <b/>
            <sz val="9"/>
            <color indexed="81"/>
            <rFont val="Tahoma"/>
            <family val="2"/>
          </rPr>
          <t xml:space="preserve">NBSAP-P.24: </t>
        </r>
        <r>
          <rPr>
            <sz val="9"/>
            <color indexed="81"/>
            <rFont val="Tahoma"/>
            <family val="2"/>
          </rPr>
          <t xml:space="preserve">En matière de politique de gestion de l’environnement, le Togo dispose aujourd’hui  d’un Programme National de lutte contre la Désertification (PAN)
</t>
        </r>
        <r>
          <rPr>
            <b/>
            <sz val="9"/>
            <color indexed="81"/>
            <rFont val="Tahoma"/>
            <family val="2"/>
          </rPr>
          <t>NBSAP-P.106</t>
        </r>
        <r>
          <rPr>
            <sz val="9"/>
            <color indexed="81"/>
            <rFont val="Tahoma"/>
            <family val="2"/>
          </rPr>
          <t xml:space="preserve">: L’agriculture durable: cette composante ambitionne de contribuer à la sécurité alimentaire mondiale par le financement des projets traitant des questions de l’agro-biodiversité, du renforcement de la sécurité alimentaire et l’adaptation de l’agriculture au changement climatique, la lutte contre la désertification et la dégradation des terres, la gestion de la quantité et de la qualité de l’eau et la production de biomatériaux et des bioénergies. </t>
        </r>
      </text>
    </comment>
    <comment ref="CW184" authorId="2">
      <text>
        <r>
          <rPr>
            <b/>
            <sz val="9"/>
            <color indexed="81"/>
            <rFont val="Tahoma"/>
            <family val="2"/>
          </rPr>
          <t>Billy Tsekos:</t>
        </r>
        <r>
          <rPr>
            <sz val="9"/>
            <color indexed="81"/>
            <rFont val="Tahoma"/>
            <family val="2"/>
          </rPr>
          <t xml:space="preserve">
</t>
        </r>
        <r>
          <rPr>
            <b/>
            <sz val="9"/>
            <color indexed="81"/>
            <rFont val="Tahoma"/>
            <family val="2"/>
          </rPr>
          <t>NBSAP-P. 38:</t>
        </r>
        <r>
          <rPr>
            <sz val="9"/>
            <color indexed="81"/>
            <rFont val="Tahoma"/>
            <family val="2"/>
          </rPr>
          <t xml:space="preserve">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r>
        <r>
          <rPr>
            <b/>
            <sz val="9"/>
            <color indexed="81"/>
            <rFont val="Tahoma"/>
            <family val="2"/>
          </rPr>
          <t xml:space="preserve">5 NR- P.73-74  </t>
        </r>
        <r>
          <rPr>
            <sz val="9"/>
            <color indexed="81"/>
            <rFont val="Tahoma"/>
            <family val="2"/>
          </rPr>
          <t>- Progrès accomplis 
*Sécurisation et restauration de 50% des 578 000 ha d’aires protégées représentant 10% du territoire national.</t>
        </r>
      </text>
    </comment>
    <comment ref="DG184" authorId="2">
      <text>
        <r>
          <rPr>
            <b/>
            <sz val="9"/>
            <color indexed="81"/>
            <rFont val="Tahoma"/>
            <family val="2"/>
          </rPr>
          <t>Billy Tsekos:</t>
        </r>
        <r>
          <rPr>
            <sz val="9"/>
            <color indexed="81"/>
            <rFont val="Tahoma"/>
            <family val="2"/>
          </rPr>
          <t xml:space="preserve">
 The conditional target for the total reduction is 31.14% in 2030.
(This target however inculdues all sectors. No dicison is made )
Togo will unconditionally reduce its emissions by 11.14% compared to the baseline scenario in 2030.</t>
        </r>
      </text>
    </comment>
    <comment ref="DK184" authorId="2">
      <text>
        <r>
          <rPr>
            <b/>
            <sz val="9"/>
            <color indexed="81"/>
            <rFont val="Tahoma"/>
            <family val="2"/>
          </rPr>
          <t>Billy Tsekos:</t>
        </r>
        <r>
          <rPr>
            <sz val="9"/>
            <color indexed="81"/>
            <rFont val="Tahoma"/>
            <family val="2"/>
          </rPr>
          <t xml:space="preserve">
In the land use, land-use change and forestry sector, the priority actions relate to: 
</t>
        </r>
        <r>
          <rPr>
            <b/>
            <sz val="9"/>
            <color indexed="81"/>
            <rFont val="Tahoma"/>
            <family val="2"/>
          </rPr>
          <t>(i)</t>
        </r>
        <r>
          <rPr>
            <sz val="9"/>
            <color indexed="81"/>
            <rFont val="Tahoma"/>
            <family val="2"/>
          </rPr>
          <t xml:space="preserve"> the promotion of private, community and State reforestation through the creation of plantations and the promotion of agroforestry on cultivated land;
</t>
        </r>
        <r>
          <rPr>
            <b/>
            <sz val="9"/>
            <color indexed="81"/>
            <rFont val="Tahoma"/>
            <family val="2"/>
          </rPr>
          <t>(ii)</t>
        </r>
        <r>
          <rPr>
            <sz val="9"/>
            <color indexed="81"/>
            <rFont val="Tahoma"/>
            <family val="2"/>
          </rPr>
          <t xml:space="preserve"> sustainable forest planning and protection (by managing brush fires, regenerating degraded sites, and demarcating and developing protected areas and tourist sites); and
</t>
        </r>
        <r>
          <rPr>
            <b/>
            <sz val="9"/>
            <color indexed="81"/>
            <rFont val="Tahoma"/>
            <family val="2"/>
          </rPr>
          <t>(iii)</t>
        </r>
        <r>
          <rPr>
            <sz val="9"/>
            <color indexed="81"/>
            <rFont val="Tahoma"/>
            <family val="2"/>
          </rPr>
          <t xml:space="preserve"> the cartographic study of geographic areas with a strong potential for the development of biofuels in conjunction with food security issues. Cost: US$500 million.
</t>
        </r>
      </text>
    </comment>
    <comment ref="DL184" authorId="2">
      <text>
        <r>
          <rPr>
            <b/>
            <sz val="9"/>
            <color indexed="81"/>
            <rFont val="Tahoma"/>
            <family val="2"/>
          </rPr>
          <t>Billy Tsekos:</t>
        </r>
        <r>
          <rPr>
            <sz val="9"/>
            <color indexed="81"/>
            <rFont val="Tahoma"/>
            <family val="2"/>
          </rPr>
          <t xml:space="preserve">
(iii) Agriculture, forestry and land use: a decline in the supply of vegetables, meats and fish and in provisions sent to the cities could lead to social tensions, or even socio-political crises, a loss of income for producers, land degradation, loss of biodiversity, pest invasions of crops, livestock and fishing yields, wood shortages, and the disappearance of wetlands; 
</t>
        </r>
      </text>
    </comment>
    <comment ref="DM184" authorId="2">
      <text>
        <r>
          <rPr>
            <b/>
            <sz val="9"/>
            <color indexed="81"/>
            <rFont val="Tahoma"/>
            <family val="2"/>
          </rPr>
          <t>Billy Tsekos:</t>
        </r>
        <r>
          <rPr>
            <sz val="9"/>
            <color indexed="81"/>
            <rFont val="Tahoma"/>
            <family val="2"/>
          </rPr>
          <t xml:space="preserve">
19 894.93 Gg CO2-e (baseline :2010)</t>
        </r>
      </text>
    </comment>
    <comment ref="DN184" authorId="2">
      <text>
        <r>
          <rPr>
            <b/>
            <sz val="9"/>
            <color indexed="81"/>
            <rFont val="Tahoma"/>
            <family val="2"/>
          </rPr>
          <t xml:space="preserve">Billy Tsekos:
</t>
        </r>
        <r>
          <rPr>
            <sz val="9"/>
            <color indexed="81"/>
            <rFont val="Tahoma"/>
            <family val="2"/>
          </rPr>
          <t>64%</t>
        </r>
      </text>
    </comment>
    <comment ref="DO184" authorId="2">
      <text>
        <r>
          <rPr>
            <b/>
            <sz val="9"/>
            <color indexed="81"/>
            <rFont val="Tahoma"/>
            <family val="2"/>
          </rPr>
          <t>Billy Tsekos:</t>
        </r>
        <r>
          <rPr>
            <sz val="9"/>
            <color indexed="81"/>
            <rFont val="Tahoma"/>
            <family val="2"/>
          </rPr>
          <t xml:space="preserve">
21% from agriculture</t>
        </r>
      </text>
    </comment>
    <comment ref="DP184" authorId="2">
      <text>
        <r>
          <rPr>
            <b/>
            <sz val="9"/>
            <color indexed="81"/>
            <rFont val="Tahoma"/>
            <family val="2"/>
          </rPr>
          <t>Billy Tsekos:</t>
        </r>
        <r>
          <rPr>
            <sz val="9"/>
            <color indexed="81"/>
            <rFont val="Tahoma"/>
            <family val="2"/>
          </rPr>
          <t xml:space="preserve">
Plant formations have been significantly degraded and the rate of deforestation stands at around 15,000 ha/year, compared with a pace of reforestation that barely exceeds 3,000 ha
annually.
(ii)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r>
      </text>
    </comment>
    <comment ref="ER185" authorId="0">
      <text>
        <r>
          <rPr>
            <sz val="9"/>
            <color indexed="81"/>
            <rFont val="Tahoma"/>
            <family val="2"/>
          </rPr>
          <t>Strategic Goal 2 By 2020, an ecological infrastructure consisting of protected and connected areas is developed. The state of threatened habitats is improved.</t>
        </r>
      </text>
    </comment>
    <comment ref="Z187"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D’après le dernier inventaire forestier, les formations forestières occupent une superficie qui avoisine les 1.2 millions d’ha;</t>
        </r>
      </text>
    </comment>
    <comment ref="AO187" authorId="2">
      <text>
        <r>
          <rPr>
            <b/>
            <sz val="9"/>
            <color indexed="81"/>
            <rFont val="Tahoma"/>
            <family val="2"/>
          </rPr>
          <t>Billy Tsekos:</t>
        </r>
        <r>
          <rPr>
            <sz val="9"/>
            <color indexed="81"/>
            <rFont val="Tahoma"/>
            <family val="2"/>
          </rPr>
          <t xml:space="preserve">
</t>
        </r>
        <r>
          <rPr>
            <b/>
            <sz val="9"/>
            <color indexed="81"/>
            <rFont val="Tahoma"/>
            <family val="2"/>
          </rPr>
          <t>NR-P.21:</t>
        </r>
        <r>
          <rPr>
            <sz val="9"/>
            <color indexed="81"/>
            <rFont val="Tahoma"/>
            <family val="2"/>
          </rPr>
          <t xml:space="preserve"> La superficie des forêts a subit une série de réduction dramatiques jusqu’à l’indépendance de la Tunisie en 1956 passant de 3 millions d’ha au début de l’ère chrétienne à 1.25 millions d’ha au début du 20ème siècle puis à uniquement 400000 ha en 1956</t>
        </r>
      </text>
    </comment>
    <comment ref="AV187" authorId="2">
      <text>
        <r>
          <rPr>
            <b/>
            <sz val="9"/>
            <color indexed="81"/>
            <rFont val="Tahoma"/>
            <family val="2"/>
          </rPr>
          <t>Billy Tsekos:
NR-P.67:</t>
        </r>
        <r>
          <rPr>
            <sz val="9"/>
            <color indexed="81"/>
            <rFont val="Tahoma"/>
            <family val="2"/>
          </rPr>
          <t xml:space="preserve"> Si on considère que la totalité des écosystèmes sont dégradés avec des degrés variables, on peut assimiler l’indicateur de restauration des écosystèmes dégradés au taux des aires protégées, toutes catégories confondues, (parcs nationaux, réserves naturelles, zones Ramsar, soit environ 520.000 ha et un taux qui avoisine les 6 % non compris les chotts et le Sahara. 
</t>
        </r>
      </text>
    </comment>
    <comment ref="BH187" authorId="2">
      <text>
        <r>
          <rPr>
            <b/>
            <sz val="9"/>
            <color indexed="81"/>
            <rFont val="Tahoma"/>
            <family val="2"/>
          </rPr>
          <t>Billy Tsekos:</t>
        </r>
        <r>
          <rPr>
            <sz val="9"/>
            <color indexed="81"/>
            <rFont val="Tahoma"/>
            <family val="2"/>
          </rPr>
          <t xml:space="preserve">
</t>
        </r>
        <r>
          <rPr>
            <b/>
            <sz val="9"/>
            <color indexed="81"/>
            <rFont val="Tahoma"/>
            <family val="2"/>
          </rPr>
          <t>NR-P.53:</t>
        </r>
        <r>
          <rPr>
            <sz val="9"/>
            <color indexed="81"/>
            <rFont val="Tahoma"/>
            <family val="2"/>
          </rPr>
          <t xml:space="preserve">  En effet, des efforts considérables ont été déployés par les différents intervenants tout au long des 5 dernirères décennies pour préserver les quelques 400 mille ha qui formaient les reliques forestiers dont on disposait en 1956 et par suite les renforcer par des actions de reboisements annuels. Ces efforts expriment une volonté ferme pour réhabiliter et reconstruire les écosytèmes forestiers et lutter contre leur fragmentation. 
</t>
        </r>
      </text>
    </comment>
    <comment ref="BP187" authorId="2">
      <text>
        <r>
          <rPr>
            <b/>
            <sz val="9"/>
            <color indexed="81"/>
            <rFont val="Tahoma"/>
            <family val="2"/>
          </rPr>
          <t>Billy Tsekos:</t>
        </r>
        <r>
          <rPr>
            <sz val="9"/>
            <color indexed="81"/>
            <rFont val="Tahoma"/>
            <family val="2"/>
          </rPr>
          <t xml:space="preserve">
</t>
        </r>
        <r>
          <rPr>
            <b/>
            <sz val="9"/>
            <color indexed="81"/>
            <rFont val="Tahoma"/>
            <family val="2"/>
          </rPr>
          <t>NR-P.22:</t>
        </r>
        <r>
          <rPr>
            <sz val="9"/>
            <color indexed="81"/>
            <rFont val="Tahoma"/>
            <family val="2"/>
          </rPr>
          <t xml:space="preserve"> Afin de soutenir cet effort de reboisement et de sauvegarde, environ 103 pépinières forestières et pastorales ont été installées produisant en moyenne 34 millions de plants/an. 30 arboretums totalisant 320000 arbres appartenant à 208 espèces ont été installés dans différentes régions de  a Tunisie
</t>
        </r>
        <r>
          <rPr>
            <b/>
            <sz val="9"/>
            <color indexed="81"/>
            <rFont val="Tahoma"/>
            <family val="2"/>
          </rPr>
          <t xml:space="preserve">
NR-P.67: </t>
        </r>
        <r>
          <rPr>
            <sz val="9"/>
            <color indexed="81"/>
            <rFont val="Tahoma"/>
            <family val="2"/>
          </rPr>
          <t xml:space="preserve">Les deux stratégies de développement sylvo pastoral (1991-2000 et 2001-2010) ont
contribué à l’augmentation du taux de couverture végétale par des actions de reboisement avec un rythme annuel moyen d’environ 20000 ha. 
</t>
        </r>
      </text>
    </comment>
    <comment ref="BX187" authorId="2">
      <text>
        <r>
          <rPr>
            <b/>
            <sz val="9"/>
            <color indexed="81"/>
            <rFont val="Tahoma"/>
            <family val="2"/>
          </rPr>
          <t>Billy Tsekos:
NR-P.29: Tableau 4 :</t>
        </r>
        <r>
          <rPr>
            <sz val="9"/>
            <color indexed="81"/>
            <rFont val="Tahoma"/>
            <family val="2"/>
          </rPr>
          <t xml:space="preserve"> Quelques impacts de la perte de la diversité biologique. 
</t>
        </r>
      </text>
    </comment>
    <comment ref="CQ187" authorId="2">
      <text>
        <r>
          <rPr>
            <b/>
            <sz val="9"/>
            <color indexed="81"/>
            <rFont val="Tahoma"/>
            <family val="2"/>
          </rPr>
          <t>Billy Tsekos:</t>
        </r>
        <r>
          <rPr>
            <sz val="9"/>
            <color indexed="81"/>
            <rFont val="Tahoma"/>
            <family val="2"/>
          </rPr>
          <t xml:space="preserve">
</t>
        </r>
        <r>
          <rPr>
            <b/>
            <sz val="9"/>
            <color indexed="81"/>
            <rFont val="Tahoma"/>
            <family val="2"/>
          </rPr>
          <t>NR-P.58:</t>
        </r>
        <r>
          <rPr>
            <sz val="9"/>
            <color indexed="81"/>
            <rFont val="Tahoma"/>
            <family val="2"/>
          </rPr>
          <t xml:space="preserve"> La réalisation d’études de vulnérabilité des écosystèmes et des secteurs économiques face aux effets potentiels des changements climatiques.
</t>
        </r>
        <r>
          <rPr>
            <b/>
            <sz val="9"/>
            <color indexed="81"/>
            <rFont val="Tahoma"/>
            <family val="2"/>
          </rPr>
          <t xml:space="preserve">
NR-P.59:</t>
        </r>
        <r>
          <rPr>
            <sz val="9"/>
            <color indexed="81"/>
            <rFont val="Tahoma"/>
            <family val="2"/>
          </rPr>
          <t>L'élaboration de plans d'action pour l'identification des méthodes appropriées visant l’adaptation des écosystèmes et des secteurs économiques au changement climatique</t>
        </r>
      </text>
    </comment>
    <comment ref="CV187" authorId="2">
      <text>
        <r>
          <rPr>
            <b/>
            <sz val="9"/>
            <color indexed="81"/>
            <rFont val="Tahoma"/>
            <family val="2"/>
          </rPr>
          <t>Billy Tsekos:</t>
        </r>
        <r>
          <rPr>
            <sz val="9"/>
            <color indexed="81"/>
            <rFont val="Tahoma"/>
            <family val="2"/>
          </rPr>
          <t xml:space="preserve">
</t>
        </r>
        <r>
          <rPr>
            <b/>
            <sz val="9"/>
            <color indexed="81"/>
            <rFont val="Tahoma"/>
            <family val="2"/>
          </rPr>
          <t xml:space="preserve"> NR-P.35:</t>
        </r>
        <r>
          <rPr>
            <sz val="9"/>
            <color indexed="81"/>
            <rFont val="Tahoma"/>
            <family val="2"/>
          </rPr>
          <t xml:space="preserve">Certains projets intégrés qui touchent à la fois les domaines de la désertification et la biodiversité ont démarré ces dernières années en vue de préserver et de développer les écosystèmes du sud tunisien notamment le projet de gestion durable de l’écosystème oasien et le projet de gestion des écosystèmes pastoraux (2013). Ces actions ont été accompagnées par des mesures juridiques telles que la promulgation d’une loi sur la protection de l’écosystème oasien et des ressources génétiques du palmier dattier connu par une diversité génétique importante (plus que 250 variétés locales). </t>
        </r>
      </text>
    </comment>
    <comment ref="CW187" authorId="2">
      <text>
        <r>
          <rPr>
            <b/>
            <sz val="9"/>
            <color indexed="81"/>
            <rFont val="Tahoma"/>
            <family val="2"/>
          </rPr>
          <t>Billy Tsekos:</t>
        </r>
        <r>
          <rPr>
            <sz val="9"/>
            <color indexed="81"/>
            <rFont val="Tahoma"/>
            <family val="2"/>
          </rPr>
          <t xml:space="preserve">
</t>
        </r>
        <r>
          <rPr>
            <b/>
            <sz val="9"/>
            <color indexed="81"/>
            <rFont val="Tahoma"/>
            <family val="2"/>
          </rPr>
          <t>NR-P.3:</t>
        </r>
        <r>
          <rPr>
            <sz val="9"/>
            <color indexed="81"/>
            <rFont val="Tahoma"/>
            <family val="2"/>
          </rPr>
          <t xml:space="preserve">  la Tunisie a, depuis 2010, renforcé son réseau par la création de 20 nouvelles aires protégées, comprenant 9 parcs et 11  réserves ramenant ainsi, le taux de couverture du réseau de 3.5 % à environ 6 % de la superficie totale de la Tunisie. </t>
        </r>
      </text>
    </comment>
    <comment ref="Z188" authorId="2">
      <text>
        <r>
          <rPr>
            <b/>
            <sz val="9"/>
            <color indexed="81"/>
            <rFont val="Tahoma"/>
            <family val="2"/>
          </rPr>
          <t xml:space="preserve">Billy Tsekos:
NR-P.7: </t>
        </r>
        <r>
          <rPr>
            <sz val="9"/>
            <color indexed="81"/>
            <rFont val="Tahoma"/>
            <family val="2"/>
          </rPr>
          <t>In Turkey, forest ecosystems cover a total area of 21,188,747 hectares
Cultivated areas, most of which are located in steppe zones, constitute about 35 % of Turkey’s total surface area</t>
        </r>
      </text>
    </comment>
    <comment ref="BA188" authorId="2">
      <text>
        <r>
          <rPr>
            <b/>
            <sz val="9"/>
            <color indexed="81"/>
            <rFont val="Tahoma"/>
            <family val="2"/>
          </rPr>
          <t>Billy Tsekos:</t>
        </r>
        <r>
          <rPr>
            <sz val="9"/>
            <color indexed="81"/>
            <rFont val="Tahoma"/>
            <family val="2"/>
          </rPr>
          <t xml:space="preserve">
</t>
        </r>
        <r>
          <rPr>
            <b/>
            <sz val="9"/>
            <color indexed="81"/>
            <rFont val="Tahoma"/>
            <family val="2"/>
          </rPr>
          <t>NR-P.39: (BASED on OLD NBSAP)</t>
        </r>
        <r>
          <rPr>
            <sz val="9"/>
            <color indexed="81"/>
            <rFont val="Tahoma"/>
            <family val="2"/>
          </rPr>
          <t xml:space="preserve"> To establish an effective monitoring, management and coordination systemfor the conservation of forest biological diversity and the sustainable use of its components</t>
        </r>
      </text>
    </comment>
    <comment ref="BX188" authorId="2">
      <text>
        <r>
          <rPr>
            <b/>
            <sz val="9"/>
            <color indexed="81"/>
            <rFont val="Tahoma"/>
            <family val="2"/>
          </rPr>
          <t>Billy Tsekos:</t>
        </r>
        <r>
          <rPr>
            <sz val="9"/>
            <color indexed="81"/>
            <rFont val="Tahoma"/>
            <family val="2"/>
          </rPr>
          <t xml:space="preserve">
</t>
        </r>
        <r>
          <rPr>
            <b/>
            <sz val="9"/>
            <color indexed="81"/>
            <rFont val="Tahoma"/>
            <family val="2"/>
          </rPr>
          <t xml:space="preserve">NR-P.20- </t>
        </r>
        <r>
          <rPr>
            <sz val="9"/>
            <color indexed="81"/>
            <rFont val="Tahoma"/>
            <family val="2"/>
          </rPr>
          <t>List</t>
        </r>
      </text>
    </comment>
    <comment ref="CW188" authorId="2">
      <text>
        <r>
          <rPr>
            <b/>
            <sz val="9"/>
            <color indexed="81"/>
            <rFont val="Tahoma"/>
            <family val="2"/>
          </rPr>
          <t>Billy Tsekos:</t>
        </r>
        <r>
          <rPr>
            <sz val="9"/>
            <color indexed="81"/>
            <rFont val="Tahoma"/>
            <family val="2"/>
          </rPr>
          <t xml:space="preserve">
</t>
        </r>
        <r>
          <rPr>
            <b/>
            <sz val="9"/>
            <color indexed="81"/>
            <rFont val="Tahoma"/>
            <family val="2"/>
          </rPr>
          <t xml:space="preserve">NR-P.47: </t>
        </r>
        <r>
          <rPr>
            <sz val="9"/>
            <color indexed="81"/>
            <rFont val="Tahoma"/>
            <family val="2"/>
          </rPr>
          <t>increase of 3.36% from 2012 to 2013</t>
        </r>
      </text>
    </comment>
    <comment ref="L191" authorId="0">
      <text>
        <r>
          <rPr>
            <sz val="9"/>
            <color indexed="81"/>
            <rFont val="Tahoma"/>
            <family val="2"/>
          </rPr>
          <t>Bonn challenge
Comitment = 2.5 million hectares 
Carbon sequestered= 0.24 GtCO2
economic benefit = 785 million USD</t>
        </r>
      </text>
    </comment>
    <comment ref="BA191" authorId="0">
      <text>
        <r>
          <rPr>
            <sz val="9"/>
            <color indexed="81"/>
            <rFont val="Tahoma"/>
            <family val="2"/>
          </rPr>
          <t xml:space="preserve">3.5 National target: By 2020, the rate of loss of all natural habitats, including  forests, is at least halved and where feasible brought close to zero, and degradation and fragmentation is significantly reduced </t>
        </r>
      </text>
    </comment>
    <comment ref="BI191" authorId="0">
      <text>
        <r>
          <rPr>
            <sz val="9"/>
            <color indexed="81"/>
            <rFont val="Tahoma"/>
            <family val="2"/>
          </rPr>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r>
      </text>
    </comment>
    <comment ref="ER191" authorId="0">
      <text>
        <r>
          <rPr>
            <sz val="9"/>
            <color indexed="81"/>
            <rFont val="Tahoma"/>
            <family val="2"/>
          </rPr>
          <t>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r>
      </text>
    </comment>
    <comment ref="BA193" authorId="0">
      <text>
        <r>
          <rPr>
            <sz val="9"/>
            <color indexed="81"/>
            <rFont val="Tahoma"/>
            <family val="2"/>
          </rPr>
          <t>Target 10 By 2021, the rate of loss of natural habitats, including forests, is decreased by 25%.</t>
        </r>
      </text>
    </comment>
    <comment ref="BA194" authorId="0">
      <text>
        <r>
          <rPr>
            <sz val="9"/>
            <color indexed="81"/>
            <rFont val="Tahoma"/>
            <family val="2"/>
          </rPr>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r>
      </text>
    </comment>
    <comment ref="EH194" authorId="0">
      <text>
        <r>
          <rPr>
            <sz val="9"/>
            <color indexed="81"/>
            <rFont val="Tahoma"/>
            <family val="2"/>
          </rPr>
          <t>Bonn challenge
Comitment = 2.5 million hectares 
Carbon sequestered= 0.24 GtCO2
economic benefit = 785 million USD</t>
        </r>
      </text>
    </comment>
    <comment ref="ER194" authorId="0">
      <text>
        <r>
          <rPr>
            <sz val="9"/>
            <color indexed="81"/>
            <rFont val="Tahoma"/>
            <family val="2"/>
          </rPr>
          <t xml:space="preserve">3.5 National target: By 2020, the rate of loss of all natural habitats, including  forests, is at least halved and where feasible brought close to zero, and degradation and fragmentation is significantly reduced </t>
        </r>
      </text>
    </comment>
    <comment ref="ET194" authorId="0">
      <text>
        <r>
          <rPr>
            <sz val="9"/>
            <color indexed="81"/>
            <rFont val="Tahoma"/>
            <family val="2"/>
          </rPr>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r>
      </text>
    </comment>
    <comment ref="BA195" authorId="0">
      <text>
        <r>
          <rPr>
            <sz val="9"/>
            <color indexed="81"/>
            <rFont val="Tahoma"/>
            <family val="2"/>
          </rPr>
          <t>ARGET 5: By 2020, the rate of degradation and fragmentation of ecosystems and the loss of habitats is significantly reduced.</t>
        </r>
      </text>
    </comment>
    <comment ref="Z196" authorId="5">
      <text>
        <r>
          <rPr>
            <sz val="11"/>
            <color theme="1"/>
            <rFont val="Calibri"/>
            <family val="2"/>
            <scheme val="minor"/>
          </rPr>
          <t>p. 21</t>
        </r>
      </text>
    </comment>
    <comment ref="AH196" authorId="5">
      <text>
        <r>
          <rPr>
            <sz val="11"/>
            <color theme="1"/>
            <rFont val="Calibri"/>
            <family val="2"/>
            <scheme val="minor"/>
          </rPr>
          <t>p 19 '' (...) Los resultados del último Censo Agropecuario (2011) indican que en los últimos 10 años se ha sustituido un 10% de la superficie de campo natural principalmente por agricultura y forestación (..)''</t>
        </r>
      </text>
    </comment>
    <comment ref="AO196" authorId="5">
      <text>
        <r>
          <rPr>
            <sz val="11"/>
            <color theme="1"/>
            <rFont val="Calibri"/>
            <family val="2"/>
            <scheme val="minor"/>
          </rPr>
          <t>p. 19 -20</t>
        </r>
      </text>
    </comment>
    <comment ref="BA196" authorId="0">
      <text>
        <r>
          <rPr>
            <sz val="11"/>
            <color theme="1"/>
            <rFont val="Calibri"/>
            <family val="2"/>
            <scheme val="minor"/>
          </rPr>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r>
      </text>
    </comment>
    <comment ref="BI196" authorId="5">
      <text>
        <r>
          <rPr>
            <sz val="11"/>
            <color theme="1"/>
            <rFont val="Calibri"/>
            <family val="2"/>
            <scheme val="minor"/>
          </rPr>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BX196" authorId="5">
      <text>
        <r>
          <rPr>
            <sz val="11"/>
            <color theme="1"/>
            <rFont val="Calibri"/>
            <family val="2"/>
            <scheme val="minor"/>
          </rPr>
          <t xml:space="preserve">p. 19 ---&gt; La principal causa de pérdida de biodiversidad en Uruguay son los cambios en el uso del suelo y la consecuente pérdida y degradación de los ecosistemas naturales. El 90% de la superficie del país tiene uso productivo a lo que se le suma un aumento de los procesos de degradación en los últimos años debido a la expansión e intensificación productiva, entre ellas la expansión
de las áreas con uso forestal y agrícola, la agricultura continúa, y la intensificación de la
ganadería. A esto se le agrega el aumento de la urbanización sin planificación principalmente
en zonas costeras. </t>
        </r>
      </text>
    </comment>
    <comment ref="CH196" authorId="5">
      <text>
        <r>
          <rPr>
            <sz val="11"/>
            <color theme="1"/>
            <rFont val="Calibri"/>
            <family val="2"/>
            <scheme val="minor"/>
          </rPr>
          <t>p. 42---&gt; Only reference---&gt; "L[inea de accion 2.1:Elaboración de la Estrategia REDD + a nivel
nacional para fortalecer las capacidades
institucionales en la protección del bosque nativo y el ambiente como articulación entre la
las políticas sobre biodiversidad y cambio
climático ''</t>
        </r>
      </text>
    </comment>
    <comment ref="CK196" authorId="5">
      <text>
        <r>
          <rPr>
            <sz val="11"/>
            <color theme="1"/>
            <rFont val="Calibri"/>
            <family val="2"/>
            <scheme val="minor"/>
          </rPr>
          <t>p.19 -----&gt;si bien no existen estimaciones oficiales sobre almacenamiento y captura de carbono de pastizales y bosques, entre las medidas de mitigación identificadas en la propuesta país a la XXI Conferencia sobre Cambio Climático se menciona el aumento de la superficie de bosque nativo así como la reducción de su degradación, y el aumento del stock
de carbono en suelos bajo pastizales naturales. Asimismo, cabe destacar que existen
estimaciones científicas de la producción primaria neta en pastizales (como aproximación al secuestro de carbono) que se ubican entre los 2100 a 9772 kgha-1 año-1 .</t>
        </r>
      </text>
    </comment>
    <comment ref="CQ196" authorId="5">
      <text>
        <r>
          <rPr>
            <sz val="11"/>
            <color theme="1"/>
            <rFont val="Calibri"/>
            <family val="2"/>
            <scheme val="minor"/>
          </rPr>
          <t xml:space="preserve">p. 44 ---&gt; Linea de accion 2.2 :Establecimiento de medidas de mitigación y adaptación al cambio climático de los diferentes ecosistemas para mantener los bienes y servicios que de ella se derivan y reducir la vulnerabilidad. </t>
        </r>
      </text>
    </comment>
    <comment ref="CW196" authorId="5">
      <text>
        <r>
          <rPr>
            <sz val="11"/>
            <color theme="1"/>
            <rFont val="Calibri"/>
            <family val="2"/>
            <scheme val="minor"/>
          </rPr>
          <t>p. 38---&gt; 11a- Para 2020, al menos el 15% de la superficie continental y el 2% de la superficie marina se conservan por medio del Sistema
Nacional de Áreas Protegidas (SNAP) y otras medidas de conservación basadas en áreas (Reservas de Biósfera, Sitios RAMSAR, protección de bosque nativo y suelos categorizados como rural natural), y están integradas en los paisajes terrestres y
marinos más amplios.
11b- Para 2020, el 100% de las áreas protegidas ingresadas al 2018
y el 100% de las Reservas de Biosfera y Sitios Ramsar actualmente designados cuentan con un plan de manejo aprobado institucionalmente.</t>
        </r>
      </text>
    </comment>
    <comment ref="ER196" authorId="0">
      <text>
        <r>
          <rPr>
            <sz val="9"/>
            <color indexed="81"/>
            <rFont val="Tahoma"/>
            <family val="2"/>
          </rPr>
          <t>Target 10 By 2021, the rate of loss of natural habitats, including forests, is decreased by 25%.</t>
        </r>
      </text>
    </comment>
    <comment ref="BI197" authorId="0">
      <text>
        <r>
          <rPr>
            <sz val="9"/>
            <color indexed="81"/>
            <rFont val="Tahoma"/>
            <family val="2"/>
          </rPr>
          <t>(P. 50) By 2025, a set of measures to reduce the rate of degradation and fragmentation of the most vulnerable natural ecosystems is developed and
is in the process of implementation.</t>
        </r>
      </text>
    </comment>
    <comment ref="ER197" authorId="0">
      <text>
        <r>
          <rPr>
            <sz val="9"/>
            <color indexed="81"/>
            <rFont val="Tahoma"/>
            <family val="2"/>
          </rPr>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r>
      </text>
    </comment>
    <comment ref="ER198" authorId="0">
      <text>
        <r>
          <rPr>
            <sz val="9"/>
            <color indexed="81"/>
            <rFont val="Tahoma"/>
            <family val="2"/>
          </rPr>
          <t>ARGET 5: By 2020, the rate of degradation and fragmentation of ecosystems and the loss of habitats is significantly reduced.</t>
        </r>
      </text>
    </comment>
    <comment ref="AH199" authorId="0">
      <text>
        <r>
          <rPr>
            <b/>
            <sz val="9"/>
            <color indexed="81"/>
            <rFont val="Tahoma"/>
            <family val="2"/>
          </rPr>
          <t>No data source!</t>
        </r>
        <r>
          <rPr>
            <sz val="9"/>
            <color indexed="81"/>
            <rFont val="Tahoma"/>
            <family val="2"/>
          </rPr>
          <t xml:space="preserve">
A la fecha hemos reducido la tasa de deforestación en un 42,9% de 288.000ha/año (período 1990-2000) a 164.600ha/año (período 2000-2010) y a 164.400ha/año (período 2010-2015).</t>
        </r>
      </text>
    </comment>
    <comment ref="AO199" authorId="0">
      <text>
        <r>
          <rPr>
            <b/>
            <sz val="9"/>
            <color indexed="81"/>
            <rFont val="Tahoma"/>
            <family val="2"/>
          </rPr>
          <t xml:space="preserve">planned to be continued in ENCB
</t>
        </r>
      </text>
    </comment>
    <comment ref="BE199" authorId="0">
      <text>
        <r>
          <rPr>
            <b/>
            <sz val="9"/>
            <color indexed="81"/>
            <rFont val="Tahoma"/>
            <family val="2"/>
          </rPr>
          <t>1990-2000 (implied below)</t>
        </r>
        <r>
          <rPr>
            <sz val="9"/>
            <color indexed="81"/>
            <rFont val="Tahoma"/>
            <family val="2"/>
          </rPr>
          <t xml:space="preserve">
A la fecha hemos reducido la tasa de deforestación en un 42,9% de 288.000ha/año (período 1990-2000) a 164.600ha/año (período 2000-2010) y a 164.400ha/año (período 2010-2015).</t>
        </r>
      </text>
    </comment>
    <comment ref="BF199" authorId="0">
      <text>
        <r>
          <rPr>
            <b/>
            <sz val="9"/>
            <color indexed="81"/>
            <rFont val="Tahoma"/>
            <family val="2"/>
          </rPr>
          <t>Prioritization of Areas Estrategicas para la Conservacion</t>
        </r>
      </text>
    </comment>
    <comment ref="BI199" authorId="0">
      <text>
        <r>
          <rPr>
            <sz val="11"/>
            <color theme="1"/>
            <rFont val="Calibri"/>
            <family val="2"/>
            <scheme val="minor"/>
          </rPr>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BL199" authorId="0">
      <text>
        <r>
          <rPr>
            <sz val="9"/>
            <color indexed="81"/>
            <rFont val="Tahoma"/>
            <family val="2"/>
          </rPr>
          <t>En este orden de ideas, en Venezuela mediante la operatividad de la Empresa Nacional Forestal (ENAFOR), se aplica un nuevo modelo de manejo forestal a nivel de unidades de aprovechamiento; siendo innovador en comparación con los métodos convencionales enfocados a lo comercial. Considera a escala de paisaje un enfoque ecosistémico, integrando todas las variables e interrelaciones en el sistema natural; considera además un enfoque de uso múltiple, permitiendo diversificar los usos de los bienes que provee el bosque, atenuando la presión sobre un solo tipo de bien natural. A escala de unidad de manejo, la metodología de aprovechamiento forestal, tiende a sustituirse por la metodología de extracción de impacto reducido (OIMT, 2004).</t>
        </r>
      </text>
    </comment>
    <comment ref="BT199" authorId="0">
      <text>
        <r>
          <rPr>
            <b/>
            <sz val="9"/>
            <color indexed="81"/>
            <rFont val="Tahoma"/>
            <family val="2"/>
          </rPr>
          <t xml:space="preserve">69 mil hectáreas
</t>
        </r>
        <r>
          <rPr>
            <sz val="9"/>
            <color indexed="81"/>
            <rFont val="Tahoma"/>
            <family val="2"/>
          </rPr>
          <t xml:space="preserve">
Misión Árbol, ya que, se constituye en una de las iniciativas más revolucionarias para la conservación de especies amenazadas de Flora, en las proyecciones del Plan 2010 – 2014 se reforestaron, con especies autóctonas alrededor de 69 mil hectáreas, teniendo como prioridad las áreas ubicadas en los estados:Táchira, Barinas, Mérida, Trujillo, Portuguesa, Anzoátegui y Sucre. La implementación y el seguimiento y el apoyo a esta Misión garantizan la consecución de esta meta a largo plazo.</t>
        </r>
      </text>
    </comment>
    <comment ref="CC199" authorId="0">
      <text>
        <r>
          <rPr>
            <sz val="9"/>
            <color indexed="81"/>
            <rFont val="Tahoma"/>
            <family val="2"/>
          </rPr>
          <t>Nuestro país implementa un vasto conjunto de acciones para la recuperación de zonas degradadas. La aplicación de políticas de gestión ambiental de los bosques se centra en la recuperación y el aprovechamiento sustentable de los recursos forestales en los bosques productores y de los bosques protectores, garantizando sus funciones ecológicas. Pueden mencionarse algunas acciones de carácter estratégico como: el fortalecimiento del programa de reforestación a escala nacional, a través de la Misión Árbol; la creación de la Empresa Nacional Forestal (ENAFOR), con un nuevo enfoque socialista para el sector forestal; la creación del Sistema Nacional de Información y Estadística Forestal en Venezuela; el Programa de Seguimiento y Control a los Planes de Ordenación y Manejo Forestal; el Plan de Ordenamiento y Reglamento de Uso de la Reserva Forestal Río Tocuyo (Estado Lara), Caparo y Ticoporo (Estado Barinas); la revisión y actualización de la normativa jurídica forestal (Ley Bosques y Gestión Forestal, Normas Técnicas sobre Diámetros Mínimos de Cortabilidad y Selección y Registro de Árboles Semilleros, entre otras); Programa Nacional de Plantaciones Forestales. A la fecha hemos reducido la tasa de deforestación en un 42,9% de 288.000ha/año (período 1990-2000) a 164.600ha/año (período 2000-2010) y a 164.400ha/año (período 2010-2015).</t>
        </r>
      </text>
    </comment>
    <comment ref="CK199" authorId="0">
      <text>
        <r>
          <rPr>
            <b/>
            <sz val="9"/>
            <color indexed="81"/>
            <rFont val="Tahoma"/>
            <family val="2"/>
          </rPr>
          <t>Project to set a up national forest monitoring system</t>
        </r>
        <r>
          <rPr>
            <sz val="9"/>
            <color indexed="81"/>
            <rFont val="Tahoma"/>
            <family val="2"/>
          </rPr>
          <t xml:space="preserve">
Por otra parte en el marco del Proyecto “Ordenación Forestal Sustentable y Conservación de Bosques en la perspectiva ecosocial”, que adelanta la Dirección General de Patrimonio Forestal del Ministerio del Poder Popular para Ecosocialismo y Aguas, se espera implementar un Sistema Integrado de Información Forestal de los bosques de Venezuela para la evaluación y monitoreo forestal nacional. Este sistema incluirá información geo-espacial y socio-económica, incluyendo el desarrollo de herramientas para el monitoreo de las reservas de carbono y emisiones de gases de efecto invernadero, y de la diversidad biológica asociada a los bosques, e involucrando a las comunidades y actores locales en el monitoreo participativo de la cobertura forestal. De esta manera se mejorará el conocimiento y se asegurará el acceso a información sobre el estado de los recursos forestales y sus servicios ecosistémicos, como base para la planificación y manejo forestal. Este proyecto generará los siguientes productos: 
Producto 1: Sistema de Información que integre los datos sobre reservas y flujos de carbono, diversidad biológica, ambiente físico-natural-sociocultural y económico, y estado y caracterización de los ecosistemas forestales proporcionando información de alta calidad para la toma de decisiones. 
Producto 2: Protocolos para actualización y procesamiento de información geoespacial para la gestión forestal sostenible (planificación, seguimiento, control e investigación) y análisis multitemporal de la cobertura de bosques a nivel nacional. 
Producto 3: Protocolo de levantamiento de información socio-cultural-económica de comunidades y pueblos indígenas asociados y/o dependientes de los bosques. 
Producto 4: Estudio de flujos y stocks de gases de efecto invernadero (GEI) en 3 tipos de bosque, identificación de áreas críticas de carbono y estándares MRV nacionales establecidos para los beneficios de reducción de GEI de la deforestación3 y degradación forestal.</t>
        </r>
      </text>
    </comment>
    <comment ref="CW199" authorId="0">
      <text>
        <r>
          <rPr>
            <b/>
            <sz val="9"/>
            <color indexed="81"/>
            <rFont val="Tahoma"/>
            <family val="2"/>
          </rPr>
          <t>planned as part of the ENCB in the AEC (Areas Especiales para la Conservacion)</t>
        </r>
      </text>
    </comment>
    <comment ref="ET199" authorId="0">
      <text>
        <r>
          <rPr>
            <sz val="9"/>
            <color indexed="81"/>
            <rFont val="Tahoma"/>
            <family val="2"/>
          </rPr>
          <t>(P. 50) By 2025, a set of measures to reduce the rate of degradation and fragmentation of the most vulnerable natural ecosystems is developed and
is in the process of implementation.</t>
        </r>
      </text>
    </comment>
    <comment ref="Z200"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Table 3- Changes in forest area and forest coverage in Vietnam (1990 - 2010) 
</t>
        </r>
        <r>
          <rPr>
            <b/>
            <sz val="9"/>
            <color indexed="81"/>
            <rFont val="Tahoma"/>
            <family val="2"/>
          </rPr>
          <t xml:space="preserve">NR-P.16: </t>
        </r>
        <r>
          <rPr>
            <sz val="9"/>
            <color indexed="81"/>
            <rFont val="Tahoma"/>
            <family val="2"/>
          </rPr>
          <t xml:space="preserve">Table 4- Current status of forest area and forest coverage in 2010 
The Government is currently aiming to increase Vietnam’s forest coverage to 42%-43% by 2015, and to 44%-45% by 2020, to meet sustainable development goals in Vietnam . In agricultural and urban areas, ecosystems are less diverse and house less natural ecosystems.
</t>
        </r>
        <r>
          <rPr>
            <b/>
            <sz val="9"/>
            <color indexed="81"/>
            <rFont val="Tahoma"/>
            <family val="2"/>
          </rPr>
          <t xml:space="preserve">NBSAP-P.56: </t>
        </r>
        <r>
          <rPr>
            <sz val="9"/>
            <color indexed="81"/>
            <rFont val="Tahoma"/>
            <family val="2"/>
          </rPr>
          <t xml:space="preserve">Forest area by years (from 1943 to 2009)
</t>
        </r>
        <r>
          <rPr>
            <b/>
            <sz val="9"/>
            <color indexed="81"/>
            <rFont val="Tahoma"/>
            <family val="2"/>
          </rPr>
          <t xml:space="preserve">NBSAP-P.83: </t>
        </r>
        <r>
          <rPr>
            <sz val="9"/>
            <color indexed="81"/>
            <rFont val="Tahoma"/>
            <family val="2"/>
          </rPr>
          <t xml:space="preserve">Forest cover of Vietnam from 1943 to 2010, and projection to 2020 </t>
        </r>
      </text>
    </comment>
    <comment ref="AH200" authorId="1">
      <text>
        <r>
          <rPr>
            <b/>
            <sz val="9"/>
            <color indexed="81"/>
            <rFont val="Tahoma"/>
            <family val="2"/>
          </rPr>
          <t>billy.tsekos:</t>
        </r>
        <r>
          <rPr>
            <sz val="9"/>
            <color indexed="81"/>
            <rFont val="Tahoma"/>
            <family val="2"/>
          </rPr>
          <t xml:space="preserve">
</t>
        </r>
        <r>
          <rPr>
            <b/>
            <sz val="9"/>
            <color indexed="81"/>
            <rFont val="Tahoma"/>
            <family val="2"/>
          </rPr>
          <t>NR-P.15:</t>
        </r>
        <r>
          <rPr>
            <sz val="9"/>
            <color indexed="81"/>
            <rFont val="Tahoma"/>
            <family val="2"/>
          </rPr>
          <t xml:space="preserve"> Table 3- Changes in forest area and forest coverage in Vietnam (1990 - 2010)
</t>
        </r>
        <r>
          <rPr>
            <b/>
            <sz val="9"/>
            <color indexed="81"/>
            <rFont val="Tahoma"/>
            <family val="2"/>
          </rPr>
          <t>NBSAP-P.42:</t>
        </r>
        <r>
          <rPr>
            <sz val="9"/>
            <color indexed="81"/>
            <rFont val="Tahoma"/>
            <family val="2"/>
          </rPr>
          <t>Progressive reduction of mangroveforest areas in Vietnam from 1943 to 2012</t>
        </r>
      </text>
    </comment>
    <comment ref="AO200" authorId="1">
      <text>
        <r>
          <rPr>
            <b/>
            <sz val="9"/>
            <color indexed="81"/>
            <rFont val="Tahoma"/>
            <family val="2"/>
          </rPr>
          <t>billy.tsekos:</t>
        </r>
        <r>
          <rPr>
            <sz val="9"/>
            <color indexed="81"/>
            <rFont val="Tahoma"/>
            <family val="2"/>
          </rPr>
          <t xml:space="preserve">
</t>
        </r>
        <r>
          <rPr>
            <b/>
            <sz val="9"/>
            <color indexed="81"/>
            <rFont val="Tahoma"/>
            <family val="2"/>
          </rPr>
          <t xml:space="preserve">NBSAP-P.39 </t>
        </r>
        <r>
          <rPr>
            <sz val="9"/>
            <color indexed="81"/>
            <rFont val="Tahoma"/>
            <family val="2"/>
          </rPr>
          <t xml:space="preserve">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 becoming increasingly vulnerable to conversion to cash crop plantations.  According to Vietnam Forest Administration’s statistics, each year from 2003 to 2009, approximately 25,000 ha of forests were converted for other land use purposes
</t>
        </r>
        <r>
          <rPr>
            <b/>
            <sz val="9"/>
            <color indexed="81"/>
            <rFont val="Tahoma"/>
            <family val="2"/>
          </rPr>
          <t>NR-P.14:</t>
        </r>
        <r>
          <rPr>
            <sz val="9"/>
            <color indexed="81"/>
            <rFont val="Tahoma"/>
            <family val="2"/>
          </rPr>
          <t xml:space="preserve">  Mangrove degradation is clearly shown through the rapid decline in both the area and quality of forests. In 1943, the country had more than 408,500 ha of mangroves. In 1990, the area of mangroves was about 255,000 ha, declining to 209,7414 ha in 2006, and 140,000 ha in 2010. By the end of 2012 only 131,520 ha of forests remained5 . Figure 3 presents the change in area of mangroves in Vietnam 1943-2012. 
</t>
        </r>
        <r>
          <rPr>
            <b/>
            <sz val="9"/>
            <color indexed="81"/>
            <rFont val="Tahoma"/>
            <family val="2"/>
          </rPr>
          <t>NR-P.21:</t>
        </r>
        <r>
          <rPr>
            <sz val="9"/>
            <color indexed="81"/>
            <rFont val="Tahoma"/>
            <family val="2"/>
          </rPr>
          <t>The conversion of poor forest to rubber plantation has significantly reduced the area of dipterocarp forests (semi-deciduous forests in the Central Highlands) and other natural forests throughout the country. In 2008, the Government agreed to convert 150,000 hectares of degraded forest to rubber plantations in Central Highland. To date, Dak Lak Province has converted a total of about 69,557 ha of forest to rubber plantation, of which 53,122 hectares was dipterocarp forest; Gia Lai Province converted 51,000 ha, and Binh Phuoc Province converted about 42,000 ha. According to statistics, since 2008 about 100,000 hectares of dipterocarp forest in the Central Highlands has been converted, representing the disappearance of a once typical ecosystem</t>
        </r>
      </text>
    </comment>
    <comment ref="AV200" authorId="1">
      <text>
        <r>
          <rPr>
            <b/>
            <sz val="9"/>
            <color indexed="81"/>
            <rFont val="Tahoma"/>
            <family val="2"/>
          </rPr>
          <t>billy.tsekos:</t>
        </r>
        <r>
          <rPr>
            <sz val="9"/>
            <color indexed="81"/>
            <rFont val="Tahoma"/>
            <family val="2"/>
          </rPr>
          <t xml:space="preserve">
</t>
        </r>
        <r>
          <rPr>
            <b/>
            <sz val="9"/>
            <color indexed="81"/>
            <rFont val="Tahoma"/>
            <family val="2"/>
          </rPr>
          <t>NBSAP-P.40</t>
        </r>
        <r>
          <rPr>
            <sz val="9"/>
            <color indexed="81"/>
            <rFont val="Tahoma"/>
            <family val="2"/>
          </rPr>
          <t>: Figure 22. Table of forest area converted for other use purposes from 2005</t>
        </r>
      </text>
    </comment>
    <comment ref="BA200" authorId="0">
      <text>
        <r>
          <rPr>
            <sz val="9"/>
            <color indexed="81"/>
            <rFont val="Tahoma"/>
            <family val="2"/>
          </rPr>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r>
      </text>
    </comment>
    <comment ref="BH200" authorId="1">
      <text>
        <r>
          <rPr>
            <b/>
            <sz val="9"/>
            <color indexed="81"/>
            <rFont val="Tahoma"/>
            <family val="2"/>
          </rPr>
          <t>billy.tsekos:</t>
        </r>
        <r>
          <rPr>
            <sz val="9"/>
            <color indexed="81"/>
            <rFont val="Tahoma"/>
            <family val="2"/>
          </rPr>
          <t xml:space="preserve">
</t>
        </r>
        <r>
          <rPr>
            <b/>
            <sz val="9"/>
            <color indexed="81"/>
            <rFont val="Tahoma"/>
            <family val="2"/>
          </rPr>
          <t xml:space="preserve">NR-P.17: </t>
        </r>
        <r>
          <rPr>
            <sz val="9"/>
            <color indexed="81"/>
            <rFont val="Tahoma"/>
            <family val="2"/>
          </rPr>
          <t xml:space="preserve">Vietnam is the home of a variety of inland river and water ecosystems. However, these river ecosystems are being increasingly fragmented by the development of hydropower and related infrastructure. 
</t>
        </r>
        <r>
          <rPr>
            <b/>
            <sz val="9"/>
            <color indexed="81"/>
            <rFont val="Tahoma"/>
            <family val="2"/>
          </rPr>
          <t>NR-P.21:</t>
        </r>
        <r>
          <rPr>
            <sz val="9"/>
            <color indexed="81"/>
            <rFont val="Tahoma"/>
            <family val="2"/>
          </rPr>
          <t xml:space="preserve">The conversion of naturally forested land and wetlands for agriculture, industrial plantations and aquaculture, coupled with urbanization and infrastructure development has led to the loss or fragmentation of ecosystems and natural habitats, and contributed to the degradation and loss of biodiversity. </t>
        </r>
      </text>
    </comment>
    <comment ref="BP200" authorId="1">
      <text>
        <r>
          <rPr>
            <b/>
            <sz val="9"/>
            <color indexed="81"/>
            <rFont val="Tahoma"/>
            <family val="2"/>
          </rPr>
          <t>billy.tsekos:</t>
        </r>
        <r>
          <rPr>
            <sz val="9"/>
            <color indexed="81"/>
            <rFont val="Tahoma"/>
            <family val="2"/>
          </rPr>
          <t xml:space="preserve">
</t>
        </r>
        <r>
          <rPr>
            <b/>
            <sz val="9"/>
            <color indexed="81"/>
            <rFont val="Tahoma"/>
            <family val="2"/>
          </rPr>
          <t>NBSAP-P.5:</t>
        </r>
        <r>
          <rPr>
            <sz val="9"/>
            <color indexed="81"/>
            <rFont val="Tahoma"/>
            <family val="2"/>
          </rPr>
          <t xml:space="preserve">
</t>
        </r>
        <r>
          <rPr>
            <b/>
            <sz val="9"/>
            <color indexed="81"/>
            <rFont val="Tahoma"/>
            <family val="2"/>
          </rPr>
          <t>2010  Goals</t>
        </r>
        <r>
          <rPr>
            <sz val="9"/>
            <color indexed="81"/>
            <rFont val="Tahoma"/>
            <family val="2"/>
          </rPr>
          <t xml:space="preserve"> : Rehabilitate 50% of the degraded watershed area;
</t>
        </r>
        <r>
          <rPr>
            <b/>
            <sz val="9"/>
            <color indexed="81"/>
            <rFont val="Tahoma"/>
            <family val="2"/>
          </rPr>
          <t xml:space="preserve">Result: </t>
        </r>
        <r>
          <rPr>
            <sz val="9"/>
            <color indexed="81"/>
            <rFont val="Tahoma"/>
            <family val="2"/>
          </rPr>
          <t xml:space="preserve">Between 2006-2008, 620,188 hectares of forest (of which, 139,625 hectares was protection and special-use forest, and 480,563 hectares was production forest) has been newly planted
Not yet Achieved: Natural forests with high biological diversity are still being exploited and  declining more than before. Particularly in Quang Nam province, from 2007 to 2009, approximately 600 hectares of natural forest was lost. In some mountainous provinces, the watersheds of major rivers have forest cover below 50%; for example: Lai Chau (39.2%), Lang Son (46.33% in 2008), and Lao Cai (48.2%). Chances of complete recovery of  species-rich forests are low since these forests have been fragmented and isolated
</t>
        </r>
        <r>
          <rPr>
            <b/>
            <sz val="9"/>
            <color indexed="81"/>
            <rFont val="Tahoma"/>
            <family val="2"/>
          </rPr>
          <t xml:space="preserve">(NBSAP-P.85) </t>
        </r>
        <r>
          <rPr>
            <sz val="9"/>
            <color indexed="81"/>
            <rFont val="Tahoma"/>
            <family val="2"/>
          </rPr>
          <t xml:space="preserve">Continue to implement the targets and tasks in the mangrove forest restoration program under Decision 405/TTg-KTN dated 16 March 2009;
</t>
        </r>
        <r>
          <rPr>
            <b/>
            <sz val="9"/>
            <color indexed="81"/>
            <rFont val="Tahoma"/>
            <family val="2"/>
          </rPr>
          <t xml:space="preserve">(NBSAP-P.90) </t>
        </r>
        <r>
          <rPr>
            <sz val="9"/>
            <color indexed="81"/>
            <rFont val="Tahoma"/>
            <family val="2"/>
          </rPr>
          <t xml:space="preserve">Map areas of high biodiversity value in the REDD + program; promote the use  of native species for forest enrichment and restoration in the framework of REDD+; provide information of the implementation of national action plans on REDD+ and contribute to reach two targets of biodiversity conservation and adaptation to climate change;
</t>
        </r>
        <r>
          <rPr>
            <b/>
            <sz val="9"/>
            <color indexed="81"/>
            <rFont val="Tahoma"/>
            <family val="2"/>
          </rPr>
          <t>(NBSAP-P.92)</t>
        </r>
        <r>
          <rPr>
            <sz val="9"/>
            <color indexed="81"/>
            <rFont val="Tahoma"/>
            <family val="2"/>
          </rPr>
          <t xml:space="preserve"> Plan on restoration of degraded critical ecosystems submitted in 2014
</t>
        </r>
        <r>
          <rPr>
            <b/>
            <sz val="9"/>
            <color indexed="81"/>
            <rFont val="Tahoma"/>
            <family val="2"/>
          </rPr>
          <t xml:space="preserve">
(NBSAP-P.39) </t>
        </r>
        <r>
          <rPr>
            <sz val="9"/>
            <color indexed="81"/>
            <rFont val="Tahoma"/>
            <family val="2"/>
          </rPr>
          <t xml:space="preserve">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arebecoming increasingly vulnerable to conversion to cash crop plantations.
</t>
        </r>
        <r>
          <rPr>
            <b/>
            <sz val="9"/>
            <color indexed="81"/>
            <rFont val="Tahoma"/>
            <family val="2"/>
          </rPr>
          <t xml:space="preserve">(NBSAP-P.55) </t>
        </r>
        <r>
          <rPr>
            <sz val="9"/>
            <color indexed="81"/>
            <rFont val="Tahoma"/>
            <family val="2"/>
          </rPr>
          <t>Vietnam’s forest ecosystems, which are most biodiverse, are home to the majority  of the species of wild plants and animals. Since 1990, thanks to the reforestation program, the  forest cover has increased every year, reaching 41.5% in 2014, but it is still lower than targeted, as the bare land area is still more than 2 million hectares.</t>
        </r>
      </text>
    </comment>
    <comment ref="BT200" authorId="1">
      <text>
        <r>
          <rPr>
            <b/>
            <sz val="9"/>
            <color indexed="81"/>
            <rFont val="Tahoma"/>
            <family val="2"/>
          </rPr>
          <t>billy.tsekos:</t>
        </r>
        <r>
          <rPr>
            <sz val="9"/>
            <color indexed="81"/>
            <rFont val="Tahoma"/>
            <family val="2"/>
          </rPr>
          <t xml:space="preserve">
2010  Goals : Rehabilitate 50% of the degraded watershed area;</t>
        </r>
      </text>
    </comment>
    <comment ref="BX200" authorId="1">
      <text>
        <r>
          <rPr>
            <b/>
            <sz val="9"/>
            <color indexed="81"/>
            <rFont val="Tahoma"/>
            <family val="2"/>
          </rPr>
          <t>billy.tsekos:</t>
        </r>
        <r>
          <rPr>
            <sz val="9"/>
            <color indexed="81"/>
            <rFont val="Tahoma"/>
            <family val="2"/>
          </rPr>
          <t xml:space="preserve">
</t>
        </r>
        <r>
          <rPr>
            <b/>
            <sz val="9"/>
            <color indexed="81"/>
            <rFont val="Tahoma"/>
            <family val="2"/>
          </rPr>
          <t xml:space="preserve">(NBSAP-P.37: </t>
        </r>
        <r>
          <rPr>
            <sz val="9"/>
            <color indexed="81"/>
            <rFont val="Tahoma"/>
            <family val="2"/>
          </rPr>
          <t>Commercial logging: Forests are the key habitats for a high proportion of Vietnam’s globally threatened plant and animal species. However, these forests have been the focus of excessive commercial and non-commercial logging for decades, leading to reductions in both their extent and quality, with very few areas of remaining primary forests. Annually, the Forest Protection Department seizes tens of thousands of cubic meters of round and sawn timber, which is rare and precious. There are cases where loggers blatantly carried out illegal exploitation of timber in core zones of national parks, infuriating society.
Conversion of forest to cash crops: Conversion of forest to cash crop plantations is a particularly significant cause of the loss of natural forest in Vietnam. There has been extensive replacement of natural forests by a variety of cash crops, including sugarcane, tea, coffee, cocoa, rubber, cashew, and most recently cassava (for export to China to be turned into biofuels).</t>
        </r>
      </text>
    </comment>
    <comment ref="CK200" authorId="1">
      <text>
        <r>
          <rPr>
            <b/>
            <sz val="9"/>
            <color indexed="81"/>
            <rFont val="Tahoma"/>
            <family val="2"/>
          </rPr>
          <t>billy.tsekos:</t>
        </r>
        <r>
          <rPr>
            <sz val="9"/>
            <color indexed="81"/>
            <rFont val="Tahoma"/>
            <family val="2"/>
          </rPr>
          <t xml:space="preserve">
</t>
        </r>
        <r>
          <rPr>
            <b/>
            <sz val="9"/>
            <color indexed="81"/>
            <rFont val="Tahoma"/>
            <family val="2"/>
          </rPr>
          <t>NR-P.14:</t>
        </r>
        <r>
          <rPr>
            <sz val="9"/>
            <color indexed="81"/>
            <rFont val="Tahoma"/>
            <family val="2"/>
          </rPr>
          <t xml:space="preserve">Research indicates the value of carbon storage of natural forests is 35- 85 million VND/ha/year and the value of carbon sequestration is approximately 0.4 to 1.3 million VND/ha/year in forests in the North. In the Central forests, the carbon storage value reaches 37 to 91 million VND/ ha/year, and the value of carbon sequestration gets 0.5 to 1.5 million VND/ha/year. This number of the Southern forests are 46 to 91 million VND/ha/year and 0.6-1.5 million VND/ha/year respectively
</t>
        </r>
        <r>
          <rPr>
            <b/>
            <sz val="9"/>
            <color indexed="81"/>
            <rFont val="Tahoma"/>
            <family val="2"/>
          </rPr>
          <t>NBSAP-P.76-77-78</t>
        </r>
      </text>
    </comment>
    <comment ref="CQ200" authorId="1">
      <text>
        <r>
          <rPr>
            <b/>
            <sz val="9"/>
            <color indexed="81"/>
            <rFont val="Tahoma"/>
            <family val="2"/>
          </rPr>
          <t>billy.tsekos:
NR-P.30:</t>
        </r>
        <r>
          <rPr>
            <sz val="9"/>
            <color indexed="81"/>
            <rFont val="Tahoma"/>
            <family val="2"/>
          </rPr>
          <t xml:space="preserve">Vietnam is one of the countries in the world predicted to be the most impacted by climate change. Under current climate change scenarios, Vietnam is predicted to house fragmented ecosystems that will undergo a high rate of loss of biological diversity resources compounding its vulnerability to climate change.
</t>
        </r>
        <r>
          <rPr>
            <b/>
            <sz val="9"/>
            <color indexed="81"/>
            <rFont val="Tahoma"/>
            <family val="2"/>
          </rPr>
          <t xml:space="preserve">NR-P.34: </t>
        </r>
        <r>
          <rPr>
            <sz val="9"/>
            <color indexed="81"/>
            <rFont val="Tahoma"/>
            <family val="2"/>
          </rPr>
          <t xml:space="preserve">Deforestation, resulting in declining biodiversity, is a major cause of global climate change. Sea level rise will impact upon the wetlands of coastal Vietnam. The most seriously impacted sites are projected to be the Mekong and Red River Deltas, and in particular the mangrove areas of Ca Mau, Ho Chi Minh City, Vung Tau and Nam Dinh. Both the flat deltas and plains and the coastal areas of the Vietnam with rich mangroves and wetland systems are increasingly sensitive and vulnerable. </t>
        </r>
        <r>
          <rPr>
            <b/>
            <sz val="9"/>
            <color indexed="81"/>
            <rFont val="Tahoma"/>
            <family val="2"/>
          </rPr>
          <t xml:space="preserve">
</t>
        </r>
        <r>
          <rPr>
            <sz val="9"/>
            <color indexed="81"/>
            <rFont val="Tahoma"/>
            <family val="2"/>
          </rPr>
          <t xml:space="preserve">
</t>
        </r>
        <r>
          <rPr>
            <b/>
            <sz val="9"/>
            <color indexed="81"/>
            <rFont val="Tahoma"/>
            <family val="2"/>
          </rPr>
          <t>NR-P.48:</t>
        </r>
        <r>
          <rPr>
            <sz val="9"/>
            <color indexed="81"/>
            <rFont val="Tahoma"/>
            <family val="2"/>
          </rPr>
          <t xml:space="preserve">Conduct research on the role of biodiversity in mitigation of and adaptation to climate change in vulnerable areas such as river basins, coastal areas, especially Red River Delta and Mekong River Delta; take measures to increase resilience ability of biodiversity in these regions. 
</t>
        </r>
        <r>
          <rPr>
            <b/>
            <sz val="9"/>
            <color indexed="81"/>
            <rFont val="Tahoma"/>
            <family val="2"/>
          </rPr>
          <t>NR-P.49:</t>
        </r>
        <r>
          <rPr>
            <sz val="9"/>
            <color indexed="81"/>
            <rFont val="Tahoma"/>
            <family val="2"/>
          </rPr>
          <t xml:space="preserve">Implement forest regeneration programs applying appropriate methods and approaches to biodiversity, carbon storage and climate change adaptation and mitigation. </t>
        </r>
      </text>
    </comment>
    <comment ref="CV200" authorId="1">
      <text>
        <r>
          <rPr>
            <b/>
            <sz val="9"/>
            <color indexed="81"/>
            <rFont val="Tahoma"/>
            <family val="2"/>
          </rPr>
          <t>billy.tsekos:</t>
        </r>
        <r>
          <rPr>
            <sz val="9"/>
            <color indexed="81"/>
            <rFont val="Tahoma"/>
            <family val="2"/>
          </rPr>
          <t xml:space="preserve">
</t>
        </r>
        <r>
          <rPr>
            <b/>
            <sz val="9"/>
            <color indexed="81"/>
            <rFont val="Tahoma"/>
            <family val="2"/>
          </rPr>
          <t xml:space="preserve">NR-P.52: </t>
        </r>
        <r>
          <rPr>
            <sz val="9"/>
            <color indexed="81"/>
            <rFont val="Tahoma"/>
            <family val="2"/>
          </rPr>
          <t>On 2nd September 2006, Prime Minister released Decision 204/2006/QĐ-TTg to implement the National Action Plan to Combat Desertification in 2006-2010 and Orientation until 2020</t>
        </r>
      </text>
    </comment>
    <comment ref="DK200" authorId="1">
      <text>
        <r>
          <rPr>
            <b/>
            <sz val="9"/>
            <color indexed="81"/>
            <rFont val="Tahoma"/>
            <family val="2"/>
          </rPr>
          <t>billy.tsekos:
Measures to achieve the GHG emissions mitigation targets of the INDC</t>
        </r>
        <r>
          <rPr>
            <sz val="9"/>
            <color indexed="81"/>
            <rFont val="Tahoma"/>
            <family val="2"/>
          </rPr>
          <t xml:space="preserve">
Manage and develop sustainable forest, enhance carbon sequestration and environmental services; conservation of biodiversity associated with livelihood development and income generation for communities and forest-dependent people
-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
- Develop and improve policies to promote sustainable forest management; mechanisms and policies to attract private sector investment for sustainable forest management, afforestation, reforestation, biodiversity conservation and livelihood development;
- Integrate and effectively use domestic and international resources for implementation of programmes and projects related to forest management and development, livelihoods and biodiversity conservation such as REDD+, the policy of payment for forest environmental services (PFES), etc.
- Strengthen and expand international cooperation for investment, technical assistance and capacity building, information and experience sharing on the sustainable forest management and development, biodiversity conservation and livelihood development.</t>
        </r>
      </text>
    </comment>
    <comment ref="DL200" authorId="1">
      <text>
        <r>
          <rPr>
            <b/>
            <sz val="9"/>
            <color indexed="81"/>
            <rFont val="Tahoma"/>
            <family val="2"/>
          </rPr>
          <t>billy.tsekos:</t>
        </r>
        <r>
          <rPr>
            <sz val="9"/>
            <color indexed="81"/>
            <rFont val="Tahoma"/>
            <family val="2"/>
          </rPr>
          <t xml:space="preserve">
Climate change adaptation activities until 2030 will be evaluated based on the following key indicators:
- At least 90% of Socio-Economic Development Plans have integrated disaster risk management and climate change adaptation;
- The average national poverty rate is lowered 2%/year; in poor districts and communes it is lowered by 4%/year;
- 100% of piers and boat storm shelters are constructed, and 100% of offshore fishing boats
and ships have sufficient communication equipment;
- Forest coverage increases to 45%; the area of protection forest in coastal areas is increased to 380,000 hectares, including 20,000 to 50,000ha of additional mangrove planting;
- At least 90% of city-dwellers and 80% of rural inhabitants have access to clean water; 100% of the population has access to health care services.
The monitoring and evaluation of the implementation of the adaptation component will be reflected in Viet Nam’s "National Communications" and “Biennial Updated Reports” submitted to the UNFCCC.</t>
        </r>
      </text>
    </comment>
    <comment ref="DM200" authorId="1">
      <text>
        <r>
          <rPr>
            <b/>
            <sz val="9"/>
            <color indexed="81"/>
            <rFont val="Tahoma"/>
            <family val="2"/>
          </rPr>
          <t>billy.tsekos:</t>
        </r>
        <r>
          <rPr>
            <sz val="9"/>
            <color indexed="81"/>
            <rFont val="Tahoma"/>
            <family val="2"/>
          </rPr>
          <t xml:space="preserve">
Viet Nam’s BAU scenario for GHG emissions was developed based on the assumption of economic growth in the absence of climate change policies. The BAU starts from 2010 (the latest year of the national GHG inventory) and includes the energy, agriculture, waste and LULUCF sectors.
 GHG emissions in 2010: 246.8 million tCO2e
 Projections for 2020 and 2030 (not included industrial processes):
- 2020: 474.1 million tCO2e
- 2030: 787.4 million tCO2e</t>
        </r>
      </text>
    </comment>
    <comment ref="CV201" authorId="6">
      <text>
        <r>
          <rPr>
            <b/>
            <sz val="9"/>
            <color indexed="81"/>
            <rFont val="Tahoma"/>
            <family val="2"/>
          </rPr>
          <t>Daniel:</t>
        </r>
        <r>
          <rPr>
            <sz val="9"/>
            <color indexed="81"/>
            <rFont val="Tahoma"/>
            <family val="2"/>
          </rPr>
          <t xml:space="preserve">
NBSAPP.65</t>
        </r>
      </text>
    </comment>
    <comment ref="CW201" authorId="6">
      <text>
        <r>
          <rPr>
            <b/>
            <sz val="9"/>
            <color indexed="81"/>
            <rFont val="Tahoma"/>
            <family val="2"/>
          </rPr>
          <t>Daniel:</t>
        </r>
        <r>
          <rPr>
            <sz val="9"/>
            <color indexed="81"/>
            <rFont val="Tahoma"/>
            <family val="2"/>
          </rPr>
          <t xml:space="preserve">
NR_P. 29</t>
        </r>
      </text>
    </comment>
    <comment ref="BA202" authorId="0">
      <text>
        <r>
          <rPr>
            <sz val="9"/>
            <color indexed="81"/>
            <rFont val="Tahoma"/>
            <family val="2"/>
          </rPr>
          <t>Target 5 By 2020, the deforestation rate in Zambia is reduced by at least 25%.</t>
        </r>
      </text>
    </comment>
    <comment ref="ER202" authorId="0">
      <text>
        <r>
          <rPr>
            <sz val="9"/>
            <color indexed="81"/>
            <rFont val="Tahoma"/>
            <family val="2"/>
          </rPr>
          <t>Target 5 By 2020, the deforestation rate in Zambia is reduced by at least 25%.</t>
        </r>
      </text>
    </comment>
    <comment ref="BA203" authorId="0">
      <text>
        <r>
          <rPr>
            <sz val="9"/>
            <color indexed="81"/>
            <rFont val="Tahoma"/>
            <family val="2"/>
          </rPr>
          <t>(P.41) Target 5: By 2020, reduce the rate of loss of natural habitats including forests by at least 50%.</t>
        </r>
      </text>
    </comment>
    <comment ref="BI203" authorId="0">
      <text>
        <r>
          <rPr>
            <sz val="9"/>
            <color indexed="81"/>
            <rFont val="Tahoma"/>
            <family val="2"/>
          </rPr>
          <t>(P.42) Target 15: By 2020, combat desertification, and enhance ecosystem resilience through conservation and restoration of degraded ecosystems</t>
        </r>
      </text>
    </comment>
    <comment ref="ER203" authorId="0">
      <text>
        <r>
          <rPr>
            <sz val="9"/>
            <color indexed="81"/>
            <rFont val="Tahoma"/>
            <family val="2"/>
          </rPr>
          <t>(P.41) Target 5: By 2020, reduce the rate of loss of natural habitats including forests by at least 50%.</t>
        </r>
      </text>
    </comment>
    <comment ref="ET203" authorId="0">
      <text>
        <r>
          <rPr>
            <sz val="9"/>
            <color indexed="81"/>
            <rFont val="Tahoma"/>
            <family val="2"/>
          </rPr>
          <t>(P.42) Target 15: By 2020, combat desertification, and enhance ecosystem resilience through conservation and restoration of degraded ecosystems</t>
        </r>
      </text>
    </comment>
    <comment ref="G226" authorId="0">
      <text>
        <r>
          <rPr>
            <b/>
            <sz val="9"/>
            <color indexed="81"/>
            <rFont val="Tahoma"/>
            <family val="2"/>
          </rPr>
          <t>Requires a quantitative measure, expressed in ha or sq km. Add "s" if there is spatially explicit info (a map)
there can be only a map without stats, then put a 0 with a "s"
Regional statistics count as spatially explicit information</t>
        </r>
      </text>
    </comment>
    <comment ref="G234" authorId="0">
      <text>
        <r>
          <rPr>
            <b/>
            <sz val="9"/>
            <color indexed="81"/>
            <rFont val="Tahoma"/>
            <family val="2"/>
          </rPr>
          <t>Quantitative metric of loss, can be in area or in %, over a certain period
"s" if there is spatially explicit information about the location of the loss (regional stats or map)</t>
        </r>
      </text>
    </comment>
    <comment ref="G241" authorId="0">
      <text>
        <r>
          <rPr>
            <b/>
            <sz val="9"/>
            <color indexed="81"/>
            <rFont val="Tahoma"/>
            <family val="2"/>
          </rPr>
          <t xml:space="preserve">is degradation discussed in the context of these ecoystems 
Requires a metric of area degraded
</t>
        </r>
      </text>
    </comment>
    <comment ref="G248" authorId="0">
      <text>
        <r>
          <rPr>
            <b/>
            <sz val="9"/>
            <color indexed="81"/>
            <rFont val="Tahoma"/>
            <family val="2"/>
          </rPr>
          <t>is there a quantitative measure of the degree of degradation?</t>
        </r>
      </text>
    </comment>
    <comment ref="G253"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G254" authorId="0">
      <text>
        <r>
          <rPr>
            <b/>
            <sz val="9"/>
            <color indexed="81"/>
            <rFont val="Tahoma"/>
            <family val="2"/>
          </rPr>
          <t xml:space="preserve">Target rate of abatement - AT 5 calls for -50% reduction in the rate of loss, -100% where possible.
</t>
        </r>
      </text>
    </comment>
    <comment ref="G255" authorId="0">
      <text>
        <r>
          <rPr>
            <b/>
            <sz val="9"/>
            <color indexed="81"/>
            <rFont val="Tahoma"/>
            <family val="2"/>
          </rPr>
          <t>The Aichi Targets are to be met by 2020 but some countries will set earlier/later targets</t>
        </r>
      </text>
    </comment>
    <comment ref="G256" authorId="0">
      <text>
        <r>
          <rPr>
            <b/>
            <sz val="9"/>
            <color indexed="81"/>
            <rFont val="Tahoma"/>
            <family val="2"/>
          </rPr>
          <t>This is the period over which the rate of ecosystem loss, degradation or fragmentation is assessed, to then set the target rate of abatement. 
(e.g deforestation 100ha/year on average for the period 2005-2010, to be reduced to 50ha year in 2020, meaning a 50% reduction of the rate of loss)</t>
        </r>
      </text>
    </comment>
    <comment ref="G257" authorId="1">
      <text>
        <r>
          <rPr>
            <b/>
            <sz val="9"/>
            <color indexed="81"/>
            <rFont val="Tahoma"/>
            <family val="2"/>
          </rPr>
          <t>billy.tsekos:</t>
        </r>
        <r>
          <rPr>
            <sz val="9"/>
            <color indexed="81"/>
            <rFont val="Tahoma"/>
            <family val="2"/>
          </rPr>
          <t xml:space="preserve">
</t>
        </r>
      </text>
    </comment>
    <comment ref="G258"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G265" authorId="0">
      <text>
        <r>
          <rPr>
            <sz val="9"/>
            <color indexed="81"/>
            <rFont val="Tahoma"/>
            <family val="2"/>
          </rPr>
          <t xml:space="preserve">Require a target area to be restored (in ha) or a percentage of degraded area ("s" if information on the location of area to be restored)
</t>
        </r>
      </text>
    </comment>
    <comment ref="G282" authorId="0">
      <text>
        <r>
          <rPr>
            <b/>
            <sz val="9"/>
            <color indexed="81"/>
            <rFont val="Tahoma"/>
            <family val="2"/>
          </rPr>
          <t>Requires a quantitative metric, e.g. TCO2e (stocks) or TCO2/ha (density)</t>
        </r>
      </text>
    </comment>
  </commentList>
</comments>
</file>

<file path=xl/sharedStrings.xml><?xml version="1.0" encoding="utf-8"?>
<sst xmlns="http://schemas.openxmlformats.org/spreadsheetml/2006/main" count="5350" uniqueCount="1825">
  <si>
    <t>Region</t>
  </si>
  <si>
    <t>Subregion</t>
  </si>
  <si>
    <t>Countries</t>
  </si>
  <si>
    <t>Revised NBSAP (post Nagoya)</t>
  </si>
  <si>
    <t>Asia</t>
  </si>
  <si>
    <t>Southern Asia</t>
  </si>
  <si>
    <t>Afghanistan</t>
  </si>
  <si>
    <t>Europe</t>
  </si>
  <si>
    <t>Southern Europe</t>
  </si>
  <si>
    <t>Albania</t>
  </si>
  <si>
    <t>Africa</t>
  </si>
  <si>
    <t>Northern Africa</t>
  </si>
  <si>
    <t>Algeria</t>
  </si>
  <si>
    <t>Andorra</t>
  </si>
  <si>
    <t>Middle Africa</t>
  </si>
  <si>
    <t>Angola</t>
  </si>
  <si>
    <t>Americas</t>
  </si>
  <si>
    <t>Carribean</t>
  </si>
  <si>
    <t>Antigua and Barbuda</t>
  </si>
  <si>
    <t>South America</t>
  </si>
  <si>
    <t>Argentina</t>
  </si>
  <si>
    <t>Western Asia</t>
  </si>
  <si>
    <t>Armenia</t>
  </si>
  <si>
    <t>Aruba</t>
  </si>
  <si>
    <t>Oceania</t>
  </si>
  <si>
    <t>Australia and New Zealand</t>
  </si>
  <si>
    <t>Australia</t>
  </si>
  <si>
    <t>Western Europe</t>
  </si>
  <si>
    <t>Austria</t>
  </si>
  <si>
    <t>Azerbaijan</t>
  </si>
  <si>
    <t>Bahamas</t>
  </si>
  <si>
    <t>Bahrain</t>
  </si>
  <si>
    <t>Bangladesh</t>
  </si>
  <si>
    <t>Barbados</t>
  </si>
  <si>
    <t>Eastern Europe</t>
  </si>
  <si>
    <t>Belarus</t>
  </si>
  <si>
    <t>Belgium</t>
  </si>
  <si>
    <t>Central America</t>
  </si>
  <si>
    <t>Belize</t>
  </si>
  <si>
    <t>Western Africa</t>
  </si>
  <si>
    <t>Benin</t>
  </si>
  <si>
    <t>Bhutan</t>
  </si>
  <si>
    <t>Bolivia (Plurinational State of)</t>
  </si>
  <si>
    <t>Bosnia and Herzegovina</t>
  </si>
  <si>
    <t>Southern Africa</t>
  </si>
  <si>
    <t>Botswana</t>
  </si>
  <si>
    <t>Brazil</t>
  </si>
  <si>
    <t>South-Eastern Asia</t>
  </si>
  <si>
    <t>Brunei Darussalam</t>
  </si>
  <si>
    <t>Bulgaria</t>
  </si>
  <si>
    <t>Burkina Faso</t>
  </si>
  <si>
    <t>Eastern Africa</t>
  </si>
  <si>
    <t>Burundi</t>
  </si>
  <si>
    <t>Cabo Verde</t>
  </si>
  <si>
    <t>Cambodia</t>
  </si>
  <si>
    <t>Cameroon</t>
  </si>
  <si>
    <t>Northern America</t>
  </si>
  <si>
    <t>Canada</t>
  </si>
  <si>
    <t>Cayman Islands</t>
  </si>
  <si>
    <t>Central African Republic</t>
  </si>
  <si>
    <t>Chad</t>
  </si>
  <si>
    <t>Chile</t>
  </si>
  <si>
    <t>Eastern Asia</t>
  </si>
  <si>
    <t>China</t>
  </si>
  <si>
    <t>Colombia</t>
  </si>
  <si>
    <t>Comoros</t>
  </si>
  <si>
    <t>Congo (Brazzaville)</t>
  </si>
  <si>
    <t>Polynesia</t>
  </si>
  <si>
    <t>Cook Islands</t>
  </si>
  <si>
    <t>Costa Rica</t>
  </si>
  <si>
    <t>Croatia</t>
  </si>
  <si>
    <t>Cuba</t>
  </si>
  <si>
    <t>Cyprus</t>
  </si>
  <si>
    <t>Czech Republic</t>
  </si>
  <si>
    <t>Democratic People's Republic of Korea</t>
  </si>
  <si>
    <t>Democratic Republic of the Congo</t>
  </si>
  <si>
    <t>1, 2</t>
  </si>
  <si>
    <t>Northern Europe</t>
  </si>
  <si>
    <t>Denmark</t>
  </si>
  <si>
    <t>Djibouti</t>
  </si>
  <si>
    <t>Dominica</t>
  </si>
  <si>
    <t>Dominican Republic</t>
  </si>
  <si>
    <t>Ecuador</t>
  </si>
  <si>
    <t>Egypt</t>
  </si>
  <si>
    <t>El Salvador</t>
  </si>
  <si>
    <t>Equatorial Guinea</t>
  </si>
  <si>
    <t>Eritrea</t>
  </si>
  <si>
    <t>Estonia</t>
  </si>
  <si>
    <t>Ethiopia</t>
  </si>
  <si>
    <t>European Union</t>
  </si>
  <si>
    <t>Melanesia</t>
  </si>
  <si>
    <t>Fiji</t>
  </si>
  <si>
    <t>Finland</t>
  </si>
  <si>
    <t>Former Yugoslav Republic of Macedonia</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</si>
  <si>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</si>
  <si>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</si>
  <si>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</si>
  <si>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</si>
  <si>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</si>
  <si>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</si>
  <si>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</si>
  <si>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</si>
  <si>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</si>
  <si>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</si>
  <si>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</si>
  <si>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</si>
  <si>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</si>
  <si>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</si>
  <si>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</si>
  <si>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</si>
  <si>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</si>
  <si>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</si>
  <si>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Ireland</t>
  </si>
  <si>
    <t>Israel</t>
  </si>
  <si>
    <t>Italy</t>
  </si>
  <si>
    <t>Jamaica</t>
  </si>
  <si>
    <t>Japan</t>
  </si>
  <si>
    <t>Jordan</t>
  </si>
  <si>
    <t>Central Asia</t>
  </si>
  <si>
    <t>Kazakhstan</t>
  </si>
  <si>
    <t>Kenya</t>
  </si>
  <si>
    <t>Micronesia</t>
  </si>
  <si>
    <t>Kiribati</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</si>
  <si>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</si>
  <si>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</si>
  <si>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</si>
  <si>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</si>
  <si>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</si>
  <si>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</si>
  <si>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</si>
  <si>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</si>
  <si>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</si>
  <si>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</si>
  <si>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</si>
  <si>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</si>
  <si>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</si>
  <si>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</si>
  <si>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</si>
  <si>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</si>
  <si>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</si>
  <si>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</si>
  <si>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</si>
  <si>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</si>
  <si>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</si>
  <si>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</si>
  <si>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</si>
  <si>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</si>
  <si>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</si>
  <si>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</si>
  <si>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</si>
  <si>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</si>
  <si>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</si>
  <si>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</si>
  <si>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</si>
  <si>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</si>
  <si>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</si>
  <si>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</si>
  <si>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</si>
  <si>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</si>
  <si>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</si>
  <si>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</si>
  <si>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</si>
  <si>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</si>
  <si>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</si>
  <si>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</si>
  <si>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</si>
  <si>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</si>
  <si>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</si>
  <si>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</si>
  <si>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</si>
  <si>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</si>
  <si>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</si>
  <si>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</si>
  <si>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</si>
  <si>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</si>
  <si>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</si>
  <si>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</si>
  <si>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</si>
  <si>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</si>
  <si>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Senegal</t>
  </si>
  <si>
    <t>Serbia</t>
  </si>
  <si>
    <t>Seychelles</t>
  </si>
  <si>
    <t>Sierra Leone</t>
  </si>
  <si>
    <t>Singapore</t>
  </si>
  <si>
    <t>Slovakia</t>
  </si>
  <si>
    <t>Slovenia</t>
  </si>
  <si>
    <t>Solomon Islands</t>
  </si>
  <si>
    <t>Somalia</t>
  </si>
  <si>
    <t>South Africa</t>
  </si>
  <si>
    <t>South Sudan</t>
  </si>
  <si>
    <t>Sri Lanka</t>
  </si>
  <si>
    <t>Suriname</t>
  </si>
  <si>
    <t>Swaziland</t>
  </si>
  <si>
    <t>Sweden</t>
  </si>
  <si>
    <t>Switzerland</t>
  </si>
  <si>
    <t>Tajikistan</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</si>
  <si>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</si>
  <si>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</si>
  <si>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</si>
  <si>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</si>
  <si>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</si>
  <si>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</si>
  <si>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</si>
  <si>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</si>
  <si>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</si>
  <si>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</si>
  <si>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</si>
  <si>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</si>
  <si>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</si>
  <si>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</si>
  <si>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</si>
  <si>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</si>
  <si>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</si>
  <si>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</si>
  <si>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</si>
  <si>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Zambia</t>
  </si>
  <si>
    <t>Zimbabwe</t>
  </si>
  <si>
    <t>National Target for AT5</t>
  </si>
  <si>
    <t xml:space="preserve">
</t>
  </si>
  <si>
    <t xml:space="preserve">Extent of natural ecosystems (forest 1; wetland 2, other 3) - "s" ifspatially explicit information included </t>
  </si>
  <si>
    <t>Rates of loss of natural ecosystems* (forest 1; wetland 2; 3 other) - "s* if there is a map or regional stats</t>
  </si>
  <si>
    <t>1s</t>
  </si>
  <si>
    <t>1s; 2</t>
  </si>
  <si>
    <t>1s,2s,3s</t>
  </si>
  <si>
    <t>1,2,3</t>
  </si>
  <si>
    <t>1, 4</t>
  </si>
  <si>
    <t>1; 2; 3</t>
  </si>
  <si>
    <t>1s, 3</t>
  </si>
  <si>
    <t>1; 2</t>
  </si>
  <si>
    <t>0s</t>
  </si>
  <si>
    <t>1s, 2s, 3s</t>
  </si>
  <si>
    <t>1s, 2s, 3</t>
  </si>
  <si>
    <t>1s; 2s; 3s, 4</t>
  </si>
  <si>
    <t>1s; 2s; 3s</t>
  </si>
  <si>
    <t>3s, 4s</t>
  </si>
  <si>
    <t>3s</t>
  </si>
  <si>
    <t>1s;2s;3s</t>
  </si>
  <si>
    <t xml:space="preserve">Specification of baseline period </t>
  </si>
  <si>
    <t xml:space="preserve">Target year </t>
  </si>
  <si>
    <t xml:space="preserve">Rate of abatement of ecosystem loss </t>
  </si>
  <si>
    <t>Critical habitats (Mangrove, forest and coral reefs)</t>
  </si>
  <si>
    <t>1 Description of drivers of loss ; 2 per ecosystem; 3 proximate/underlying - "s* if there is a map of drivers</t>
  </si>
  <si>
    <t>1s; 3</t>
  </si>
  <si>
    <t>1; 3</t>
  </si>
  <si>
    <t>1;2;3</t>
  </si>
  <si>
    <t>1 ,3</t>
  </si>
  <si>
    <t>1;2</t>
  </si>
  <si>
    <t>National Target for AT15</t>
  </si>
  <si>
    <t>(P. 139) Target 7.1. Maintain and enhance resilience
of the components of biodiversity to adapt
to climate change.
Target 7.2. Reduce pollution and its impacts
on biodiversity</t>
  </si>
  <si>
    <t>(P.41) Target 2: Maintain and restore ecosystems and their services By 2020, ecosystems and their services are maintained and enhanced by establishing green infrastructure and restoring at least 15% of degraded ecosystems</t>
  </si>
  <si>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</si>
  <si>
    <t>(P. NBSAP 37) Target 6 Preserve and
restore ecosystems and
their functioning</t>
  </si>
  <si>
    <t>(P. 106)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</si>
  <si>
    <t xml:space="preserve">(P. 31) Goal 2: To generate benefits for all citizens from biodiversity and ecosystem services for improved human well being </t>
  </si>
  <si>
    <t xml:space="preserve">(P. 60) The targets are Maintain and enhance resilience of the components of biodiversity to adapt to climate change; and Reduce pollution and its impacts on biodiversity. 
</t>
  </si>
  <si>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</si>
  <si>
    <t>(P. 50) By 2025, a set of measures to reduce the rate of degradation and fragmentation of the most vulnerable natural ecosystems is developed and
is in the process of implementation.</t>
  </si>
  <si>
    <t>(P.42) Target 15: By 2020, combat desertification, and enhance ecosystem resilience through conservation and restoration of degraded ecosystems</t>
  </si>
  <si>
    <t>Conservation actions aimed at preserving biomass carbon in natural ecosystems ("t" - if there is a target in TCO2e)</t>
  </si>
  <si>
    <t>Restoration actions aimed at restoring biomass carbon in natural ecosystems ("t" - if there is a target in TCO2e)</t>
  </si>
  <si>
    <t xml:space="preserve">1; 2 </t>
  </si>
  <si>
    <t>1s;2</t>
  </si>
  <si>
    <t>1 Actions to address these pressures; 2 per driver; 3 loss/degradation/fragmentation) - "s" if there is a map</t>
  </si>
  <si>
    <t>links</t>
  </si>
  <si>
    <t>Use of REDD+ MRV information</t>
  </si>
  <si>
    <t>Use of REDD+ baseline information (past)</t>
  </si>
  <si>
    <t>Reference to REDD+ strategy</t>
  </si>
  <si>
    <t>Consideration of ecosystem resilience</t>
  </si>
  <si>
    <t>Contribution to combating desertification</t>
  </si>
  <si>
    <t>Received support from GEF  in the preparation of the report</t>
  </si>
  <si>
    <t>Received Support from UNDP/PNUD in the preparation of the report</t>
  </si>
  <si>
    <t>Part of UN-REDD Programme</t>
  </si>
  <si>
    <t>Extent of forest</t>
  </si>
  <si>
    <t>Map of forest</t>
  </si>
  <si>
    <t>Extent of wetlands</t>
  </si>
  <si>
    <t>Map of wetlands</t>
  </si>
  <si>
    <t>Extent of other ecosystems</t>
  </si>
  <si>
    <t>Maps of other ecosystems</t>
  </si>
  <si>
    <t>Ecosystem map</t>
  </si>
  <si>
    <t>Rate of forest loss</t>
  </si>
  <si>
    <t xml:space="preserve">Map of forest loss </t>
  </si>
  <si>
    <t>Rate of wetlands loss</t>
  </si>
  <si>
    <t>Map of wetlands loss</t>
  </si>
  <si>
    <t>Rate of other ecosystems loss</t>
  </si>
  <si>
    <t>Spatially explicit information on ecosystem loss</t>
  </si>
  <si>
    <t>Extent of forest degradation</t>
  </si>
  <si>
    <t>Map of forest degradation</t>
  </si>
  <si>
    <t>Extent of wetland degradation</t>
  </si>
  <si>
    <t>Map of wetland degradation</t>
  </si>
  <si>
    <t>Map of other ecosystem degradation</t>
  </si>
  <si>
    <t>Extent of other ecosystem degradation</t>
  </si>
  <si>
    <t>Indicator of degradation in forest</t>
  </si>
  <si>
    <t>Indicator of degradation in wetlands</t>
  </si>
  <si>
    <t xml:space="preserve">Indicator of degradation in other terrestrial ecosystems </t>
  </si>
  <si>
    <t>Indicator of degradation in marine ecosystems</t>
  </si>
  <si>
    <t xml:space="preserve">Conservation actions explicitly aimed at preserving biomass carbon in natural ecosystems </t>
  </si>
  <si>
    <t>Quantiative target for the conservation of carbon in natural ecosystem</t>
  </si>
  <si>
    <t>Map of area targeted for restoration</t>
  </si>
  <si>
    <t>Quantitative target area for restoration</t>
  </si>
  <si>
    <t>Quantitative target area for restoration includes breakdown by ecosystem</t>
  </si>
  <si>
    <t>1(s) Target area or percentage  for restoration; 2 breakdown by ecosystem</t>
  </si>
  <si>
    <t>Quantitative assessment of carbon stock or density in forests</t>
  </si>
  <si>
    <t>Quantitative assessment of carbon stock or density in peatlands</t>
  </si>
  <si>
    <t>Quantitative assessment of carbon stock or density in other ecosystems</t>
  </si>
  <si>
    <t>Map of carbon density in ecosystems</t>
  </si>
  <si>
    <t>Assessment of of climate vulnerability</t>
  </si>
  <si>
    <t>Map of climate vulnerability</t>
  </si>
  <si>
    <t>Assessment of contribution of natural ecosystems to adaptation</t>
  </si>
  <si>
    <t>Area of loss in protected areas</t>
  </si>
  <si>
    <t>Area or degree of degradation in protected areas</t>
  </si>
  <si>
    <t>Quantitative target for restoration in protected areas</t>
  </si>
  <si>
    <t>Assessment of state and trends of ecosystems</t>
  </si>
  <si>
    <t xml:space="preserve">Target setting </t>
  </si>
  <si>
    <t>Diagnostic of drivers and responses</t>
  </si>
  <si>
    <t>Linkages with climate change mitigation and adaptation</t>
  </si>
  <si>
    <t>1,3</t>
  </si>
  <si>
    <t>1 (s) assessment climate vulnerability: 2 - assessment of contribution to adaptation, 3 DRR</t>
  </si>
  <si>
    <t>1,2</t>
  </si>
  <si>
    <t>2,3</t>
  </si>
  <si>
    <t xml:space="preserve">Carbon stock/density in various ecosystems ( 1 forest, 2 peatlands, 3 others) "s" if spatially explicit information included </t>
  </si>
  <si>
    <t>1,2s</t>
  </si>
  <si>
    <t>1,2,3s</t>
  </si>
  <si>
    <t>Prioritization of certain ecosystems (1 Forest, 2 mangrove,3 wetland, 4 peatland, 5 other</t>
  </si>
  <si>
    <t xml:space="preserve">1s,2s </t>
  </si>
  <si>
    <t>2s,3</t>
  </si>
  <si>
    <t>3,4</t>
  </si>
  <si>
    <t>Extent and distribution of natural ecosystems</t>
  </si>
  <si>
    <t>Rate of loss of natural ecosystems</t>
  </si>
  <si>
    <t>Rate of degradation of natural ecosystems</t>
  </si>
  <si>
    <t>Specific, Measureable and Timebound Target 5</t>
  </si>
  <si>
    <t>Specific, Measurable and Timebound Target 15</t>
  </si>
  <si>
    <t>Diagnostic of drivers of loss and degradation of ecosystems</t>
  </si>
  <si>
    <t>Description of drivers of loss and degradation</t>
  </si>
  <si>
    <t>Identification of specific drivers per ecosystem</t>
  </si>
  <si>
    <t>Identification of proximate and underlying drivers</t>
  </si>
  <si>
    <t>Spatially explicit information on drivers of loss and degradation</t>
  </si>
  <si>
    <t>Implementation measures</t>
  </si>
  <si>
    <t>Description of measures taken to implement the targets</t>
  </si>
  <si>
    <t xml:space="preserve">Specific measures are related to specific drivers </t>
  </si>
  <si>
    <t>Specific measures address loss, degradation and fragmentation</t>
  </si>
  <si>
    <t>Spatial planning of implemementation measures</t>
  </si>
  <si>
    <t>Synergies with REDD+</t>
  </si>
  <si>
    <t>Assessment of carbon stocks and density in natural ecosystems</t>
  </si>
  <si>
    <t>Assessment of resilience, vulnerability of ecosystems and their potential to contribute to adaptation and combating desertification</t>
  </si>
  <si>
    <t>Technical and financial support</t>
  </si>
  <si>
    <t>Linkages with AT 11</t>
  </si>
  <si>
    <t>any prioritization</t>
  </si>
  <si>
    <t xml:space="preserve">Restoration actions explicitly aimed at enhancing biomass carbon in natural ecosystems </t>
  </si>
  <si>
    <t>Quantiative target for the enhancement of carbon in natural ecosystem</t>
  </si>
  <si>
    <t>Quantitative target for the enhancement of carbon in natural ecosystem</t>
  </si>
  <si>
    <t>Assessment of contribution of natural ecosystems to DRR</t>
  </si>
  <si>
    <t>Assessment of contribution of natural ecosystems to Disaster Risk Reduction</t>
  </si>
  <si>
    <t>Mapa de bosques</t>
  </si>
  <si>
    <t>Mapa de humedales</t>
  </si>
  <si>
    <t>Mapa de otros ecosistemas</t>
  </si>
  <si>
    <t>Ritmo de pérdida de bosques</t>
  </si>
  <si>
    <t>Ritmo de pérdida de humedales</t>
  </si>
  <si>
    <t>Ritmo de pérdida de otros ecosistemas</t>
  </si>
  <si>
    <t>Mapa de pérdida de bosques</t>
  </si>
  <si>
    <t>ecosystem fragmentation</t>
  </si>
  <si>
    <t>1,3,5</t>
  </si>
  <si>
    <t xml:space="preserve">1,3 </t>
  </si>
  <si>
    <t>1, 3</t>
  </si>
  <si>
    <t>NY Declaration commitment</t>
  </si>
  <si>
    <t>INDC commitment</t>
  </si>
  <si>
    <t xml:space="preserve">Bonn challenge commitment </t>
  </si>
  <si>
    <t>Bonn Challenge, 2. AFR100, 3. 20x20 (m) if mentioned in NBSAP/NR52</t>
  </si>
  <si>
    <t>Area of restoration potential (IUCN)</t>
  </si>
  <si>
    <t>Quantitative target (area)</t>
  </si>
  <si>
    <t>Quantitative target (%)</t>
  </si>
  <si>
    <t>Carbon Target</t>
  </si>
  <si>
    <t>Area para restauracion (Cuestionario)</t>
  </si>
  <si>
    <t>Percentage of degraded areas</t>
  </si>
  <si>
    <t>Meta de carbono (Cuestionario)</t>
  </si>
  <si>
    <t xml:space="preserve">INDC (Area) </t>
  </si>
  <si>
    <t>INDC (Carbon)</t>
  </si>
  <si>
    <t>LULUCF target (can be in TCO2, %age deforestation abated, ha of forest restored)</t>
  </si>
  <si>
    <t>AFOLU Target Y/N</t>
  </si>
  <si>
    <t>LULUCF Target Y/N</t>
  </si>
  <si>
    <t xml:space="preserve">Ecosystem-based mitigation actions </t>
  </si>
  <si>
    <t>Ecosystem-based adaptation actions</t>
  </si>
  <si>
    <t>National GHG emissions</t>
  </si>
  <si>
    <t>%of emissions from LULUCF</t>
  </si>
  <si>
    <t>%of emissions from AFOLU</t>
  </si>
  <si>
    <t>Fijada pero sin meta cuantativa</t>
  </si>
  <si>
    <t>No fijada por falta de informacion</t>
  </si>
  <si>
    <t>-</t>
  </si>
  <si>
    <t>N</t>
  </si>
  <si>
    <t>N/A</t>
  </si>
  <si>
    <t>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
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t>
  </si>
  <si>
    <t>The promotion of biodiversity conservation and Adaptation based on ecosystems</t>
  </si>
  <si>
    <t>429 M ton CO2-</t>
  </si>
  <si>
    <t>Y</t>
  </si>
  <si>
    <t>Lower emissions from agricultural land: objective -  Raise productivity of agricultural land and lower
emissions of methane :: Afforestation and reforestation
programme:
Provide support to scale up afforestation and
reforestation</t>
  </si>
  <si>
    <t>Agriculture
(non-energy
related)
􀁸 Increase mechanisation in
agriculture leading to a reduction
in numbers of draft cattle (and
therefore lower methane
emissions)
􀁸 Increase the share of organic
manure in the used fertilizer mix
􀁸 Scale up rice cultivation using
alternate wetting and drying
irrigation
􀁸 50% reduction in draft animals
compared to the business as
usual
􀁸 35% increase in organic fertiliser
share compared to the business
as usual
􀁸 20% of all rice cultivation uses
alternate wetting and drying
irrigation</t>
  </si>
  <si>
    <t>Continuation of coastal mangrove
plantation
􀁸 Reforestation and afforestation in
the reserved forests
􀁸 Plantation in the island areas of
Bangladesh
􀁸 Continuation of Social and
Homestead forestry
􀁸 Not quantified
Data was not available to allow for detailed analysis of future
GHG emissions and mitigation potential in the LULUCF sector.
Further work will be needed to quantify this accurately (see
section 4 on INDC implementation).</t>
  </si>
  <si>
    <t>A number of further mitigation actions in other sectors which it intends to achieve
subject to the provision of additional international resources.</t>
  </si>
  <si>
    <t>Adaptation Priorities for Bangladesh:
i. Im proved Early warning system for tropical cyclone, flood, flash flood and drought
ii. D isaster preparedness and construction of flood and cyclone shelters
iii. T ropical cyclones and storm surge protection
iv. In land monsoon flood-proofing and protection
v. C limate resilient infrastructure and communication
vi. C limate resilient housing
vii. Im provement of Urban resilience through improvement of drainage system to address
urban flooding
viii. R iver training and dredging (including excavation of water bodies, canals and drains)
ix. S tress tolerant (salinity, drought and flood) variety improvement and cultivation (including
livestock and fisheries)
x. R esearch and knowledge management
xi. A daptation on local-level perspectives etc.
xii. A daptation to climate change impacts on health
xiii. B iodiversity and ecosystem conservation
xiv. C apacity Building at Individual and institutional level to plan and implement adaptation
programmes and projects in the country</t>
  </si>
  <si>
    <t>emissions are less than 0.35% of global
emissions</t>
  </si>
  <si>
    <t>Bangladesh acknowledges that climate change action requires a holistic approach and further
acknowledges that many activities will deliver both adaptation and mitigation benefits. For example,
Bangladesh’s national afforestation programme has led to significant afforestation in newly accreted
lands along the coast in the Bay of Bengal as well as reforestation in the adjacent denuded hills.
About 195,000 hectares of mangrove plantations have been raised so far and these new plantations
are also playing an important role in carbon sequestration. More analysis needs to be carried out on
future GHG emissions and mitigation options for the LULUCF sector and when this is done, further
consideration will be given to mitigation-adaptation synergies in this sector.</t>
  </si>
  <si>
    <t>30% of degraded ecosystems</t>
  </si>
  <si>
    <t>In relation to forests and agriculture, actions will be promoted with a focus on joint mitigation and adaptation to climate change and holistic development, achieving the following results:
• Zero illegal deforestation by 2020
• Increased the surface of forested and reforested areas to 4.5 million hectares by 2030.
• Increased forest areas with integrated and sustainable community management approaches with 16.9 million hectares in 2030, in reference to 3.1 million hectares by 2010.
• Strengthened environmental functions (carbon capture and storage, organic matter and soil fertility, biodiversity conservation and water availability) in about 29 million hectares by 2030.
• Contribution to Gross Domestic Product (GDP) growth of 5.4% in 2030, boosted by agricultural and forestry production complementary to conservation.
• Reducing extreme poverty to zero in the population dependent on forests by 2030, based on approximately 350 thousand people by 2010.
• Increase net forest cover more than 54 million hectares by 2030, compared to the 52.5 million of 2010.
• Contributing to an increase in Gross Domestic Product (GDP) of 5.4 % in 2030, furthered by agricultural and forestry production, complementing conservation efforts.
• Extreme poverty has been reduced to zero within the population that depends on forests by 2030 from approximately 350 thousand people in 2010.
• Net forest coverage has increased in 2030 to more than 54 million hectares compared to the 52.5 million in 2010.
• Joint mitigation and adaptation capacity has increased in areas covered by forests, agricultural and forestry systems from 0.35 units in 2010 to 0.78 in 2030, as measured by the Index of Sustainable Forest Life, achieving productivity and conservation systems that are both complementary and resilient.</t>
  </si>
  <si>
    <t>Belize’s contribution will address issues of deforestation and afforestation, maintaining healthy forest ecosystems by sustainable forest management, and increasing the resilience of human communities, especially those whose livelihoods depend on the use of forestry resources. Therefore, Belize will reduce greenhouse gas emissions from deforestation, and from forest degradation, conservation of forest carbon stocks, sustainable management of forests, enhancement of forest stocks through the development of a REDD+ strategy.
Belize’s contribution will also address the management and protection of key biodiversity areas that will support forest protection and sustainable forest management plans and practices in targeted Protected Areas (PAs), rehabilitation of critical areas of high conservation value by local communities, and community-based sustainable use of ecosystem goods and services; (ii) improving management and monitoring of PAs, including development and implementation of management plans in the targeted PAs, and improving legal framework for the protection of biodiversity and forests;</t>
  </si>
  <si>
    <t>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t>
  </si>
  <si>
    <t xml:space="preserve">The Sustainable Energy Action Plan has as its objective the reduction of Belize’s GHG emissions by 24 million metric tonnes of CO2e over the period 2014- 2033. </t>
  </si>
  <si>
    <t>Bhutan intends to remain carbon neutral where emission of greenhouse gases will not
exceed carbon sequestration by our forests, which is estimated at 6.3 million tons of CO2.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t>
  </si>
  <si>
    <t>maintain
current levels of forest cover, which currently stand at 70.46%</t>
  </si>
  <si>
    <t>the successful implementation of our intended
actions to mitigate will depend on the level of financial and technical support received.</t>
  </si>
  <si>
    <t>Bhutan intends to remain carbon neutral where emission of greenhouse gases will not
exceed carbon sequestration by our forests, which is estimated at 6.3 million tons of CO2.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 Various other policies and initiatives are also already in place that contribute to mitigation
such as sustainable land management practices, improved livestock management,
promotion of organic agriculture and promotion of zero emission vehicles. The Economic
Development Policy of 2010 and draft of 2015 also provide several measures to promote
“green growth” for industrial development. The present five year development plan (2013‐
18) has also integrated carbon neutral development as part of the national key result areas
to guide planning and implementation of development activities within all sectors.
 .. Will pursue cologically balanced sustainable development in line with our development philosophy of
Gross National Happiness. To remain carbon neutral, growing emissions from economic
development will need to be mitigated by pursuing low emission development pathways
across all sectors. 
Plans and actions include 1. Sustainable forest management and conservation of biodiversity to ensure sustained
environmental services through:
• Sustainable management of forest management units (FMUs), protected areas,
community forests, forest areas outside FMUs, and private forests
• Enhancing forest information and monitoring infrastructure through national forest
inventories and carbon stock assessments
• Forest fire management and rehabilitation of degraded and barren forest lands
4. Promote a green and self reliant economy towards carbon neutral and sustainable
development through:
• Improvement of manufacturing processes in existing industries through investments
and adoption of cleaner technology, energy efficiency and environmental
management
• Enhance and strengthen environmental compliance monitoring system
• Promote investment in new industries that are at higher levels in the value chain,
and green industries and services.
• Promote industrial estate development and management in line with efficient, clean
and green industry development objectives</t>
  </si>
  <si>
    <t>1. Increase resilience to the impacts of climate change on water security through
Integrated Water Resource Management (IWRM) approaches including:
• Water resources monitoring, assessment, and mapping
• Adoption and diffusion of appropriate technologies for water harvesting and
efficient use
• Climate proofing water distribution systems
• Integrated watershed and wetland management
2. Promote climate resilient agriculture to contribute towards achieving food and nutrition
security through:... conservation of PGR...Promotion of sustainable soil and land management technologies and approaches
3. Sustainable forest management and conservation of biodiversity to ensure sustained
environmental services through:
• Sustainable management of forest management units (FMUs), protected areas,
community forests, forest areas outside FMUs, and private forests
4. Strengthen resilience to climate change induced hazards through:
• Improved monitoring and detection of hydromet extremes using remote sensing and
satellite‐based technologies and approaches
• Continual assessment of potentially dangerous glacial lakes and improvement of
early warning system for GLOFs
• Develop a monitoring, assessment, and warning systems for flash flood and landslide
hazards and risks
• Forest fire risk assessment and management
• Assessment and management of risk and damage from windstorms on agricultural
crops and human settlements.
...Protecting catchment areas for hydropower through watershed and sustainable land
management approaches</t>
  </si>
  <si>
    <t>According to the second national GHG inventory, Bhutan is a net sink for greenhouse gases.
The estimated sequestration capacity of our forest is 6.3 million tons of CO2 while the
emissions for year 2000 is only 1.6 million tons of CO2 equivalent.</t>
  </si>
  <si>
    <t>The first comprehensive national forest inventory
presently underway will provide an updated state of the forests in Bhutan by end of 2016.
The forest monitoring and inventory system being developed in conjunction with a national
forest monitoring system for REDD+ will enable monitoring and assessment of forest cover
over time. ...
The Bhutan Trust Fund for Environmental Conservation also
provides local funding for projects addressing mitigation and adaptation.</t>
  </si>
  <si>
    <t>To achieve the results mentioned above in forests and in agricultural, forestry and agro-forestry production systems, the following measures and actions will be implemented:
• Resilience has been achieved through the strengthening of environmental functions and the productive capacities of agricultural and agroforestry systems.
• Integrated and sustainable management of forests has strengthened through the management of timber and non-timber products in an integrated and sustainable manner.
• Conservation of areas with high environmental functions.
• Restoration and recovery of degraded soils and forests.
• Consolidation and strengthening of regenerative capacities of forests and forest systems.
• Implementation of control, monitoring, and tracking systems for the appropriate use of areas of forest life.
• Actions related to supervision and control for the proper management of forests has been achieved.
• Actions pertaining to the proper management of protected areas and forest areas with conservation priority have been achieved.
• Consolidation of agroforestry systems.
• Transition to semi - intensive systems of livestock management and integrated management of agroforestry and silviculture techniques.
• Transition to agricultural systems with sustainable management practices.
• Reduction of vulnerabilities in agricultural, fisheries, and agro-forestry systems of production.
• Sustainable use of biodiversity resources, wildlife and aquatic life for food security and sustainable industrialization.
• Control of illegal deforestation and establishment of systems of control and monitoring of deforestation, fires and forest fires.
• Training in technologies adapted to climate change (local knowledge and modern technologies).
• Actions to reduce the vulnerability of production systems in a climate change scenario.
• Usage of better local adapted varieties of species suited for the climate, and resistant to pests and diseases.
• Measures of agricultural and livestock production insurance to include additional conservation actions, making resilient agricultural and forestry production systems. 
• Development of research and information on alternatives for climate change and adaptation technologies.
• Strengthening of local capacities for adaptation to climate change.
• Strengthening community based stewardship in forest management and farming systems.
• Forestation and reforestation, forest plantations, parks and urban forests.</t>
  </si>
  <si>
    <t>see previous column</t>
  </si>
  <si>
    <t xml:space="preserve">Bolivia has developed the Sustainable Life of Forest Index to measure the combined capacity to mitigate and adapt to the comprehensive and sustainable management of forests, agricultural and agroforestry production systems. </t>
  </si>
  <si>
    <t>15000000 (2050)</t>
  </si>
  <si>
    <t>30% of original biome restored</t>
  </si>
  <si>
    <t>2 billion TCO2 (2050)</t>
  </si>
  <si>
    <t>15% of degraded ecosystems (2020)</t>
  </si>
  <si>
    <t>No fijada y no se quiere incluir</t>
  </si>
  <si>
    <t>Brazil intends to adopt further measures that are consistent with the 2°C temperature goal, in particular in land use change and forests:
- strengthening and enforcing the implementation of the Forest Code, at federal, state and municipal levels;
- strengthening policies and measures with a view to achieve, in the Brazilian Amazonia, zero illegal deforestation by 2030 and compensating for greenhouse gas emissions from legal suppression of vegetation by 2030;
- restoring and reforesting 12 million hectares of forests by 2030, for multiple purposes;
- enhancing sustainable native forest management systems, through georeferencing and tracking systems applicable to native forest management, with a view to curbing illegal and unsustainable practices</t>
  </si>
  <si>
    <t xml:space="preserve">In addition, Brazil also intends to:
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
</t>
  </si>
  <si>
    <t>6.5 tCO2 Per capita (2012)</t>
  </si>
  <si>
    <t>Brazil intends to commit to reduce greenhouse gas emissions by 37% below 2005 levels in 2025.</t>
  </si>
  <si>
    <t>y</t>
  </si>
  <si>
    <t>In accordance with the National Forest Programme (2010-2029), Cambodia is striving to increase and maintain the forest cover at 60% of the total land area, from an estimate of 57% in 2010. This will be achieved in particular through: Reclassification of forest areas to avoid deforestation: - Protected areas: 2.8 million hectares - Protected forest: 3 million hectares - Community forest: 2 million hectares - Forest concessions reclassified to protected and production forest: 0.3 million hectares - Production forest: 2.5 million hectares. Implementation of the FLEGT7 programme in Cambodia The objective is to improve forest governance and promote international trade in verified legal timber.
emission reduction expected from these actions = 4.7 tCO2eq/ha/year</t>
  </si>
  <si>
    <t>Though actions for LULUCF are presented as a conditional contribution, a precise list of actions and the GHG impacts will be updated after finalisation of the REDD+ Strategy (Reducing Emissions from Deforestation and Forest Degradation “Plus” Strategy).</t>
  </si>
  <si>
    <t xml:space="preserve"> Increasing forest cover to 60% of national land area by 2030</t>
  </si>
  <si>
    <t>restoring the natural ecology system to respond to climate change
Implementing management measures for protected areas to adapt to climate change...Ensure climate resilience of critical ecosystems (Tonle Sap Lake, Mekong River, coastal ecosystems, highlands, etc.), biodiversity, protected areas and cultural heritage sites</t>
  </si>
  <si>
    <t>the latest available GHG inventory suggests that Cambodia was an overall net carbon sink in 20003.</t>
  </si>
  <si>
    <t>The agriculture sector is expected to grow at an annual rate of 5% in order to meet national economic growth and export targets, as well as to contribute to the population’s food security needs. At the same time, Cambodia has more than 57% forest cover, which the government endeavours to increase and maintain, to ensure livelihoods for forest-dependent communities and future generations.</t>
  </si>
  <si>
    <t xml:space="preserve">100 000 ha sustainable development and recovery of forest land (provisional)
100 000 ha reforestation </t>
  </si>
  <si>
    <t>No fijada</t>
  </si>
  <si>
    <t>No fijada pero tiene planos para fijar</t>
  </si>
  <si>
    <t>Chile has committed to the sustainable development and recovery of 100,000 hectares of forest land, mainly native, which will account for greenhouse gas sequestrations and reductions of an annual equivalent of around 600,000 of CO2 as of 2030. This commitment is subject to the approval of the Native Forest Recovery and Forestry Promotion Law.
b) Chile has agreed to reforest 100,000 hectares, mostly with nati- ve species, which shall represent sequestrations of about 900,000 and 1,200,000 annual equivalent tons of CO2 as of 2030. This com- mitment is conditioned to the extension of Decree Law 701 and the approval of a new Forestry Promotion Law.</t>
  </si>
  <si>
    <t>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 tion of adaptation measures for ecosystems and ground and water ecosystem species, coastline, continental and oceanic island water systems, both in rural and urban areas.
The forestry and agriculture plan is made up of 21 measures which mainly focus around water management, research, in- formation and capacity-building, risk management and agricultural insurance and forestry management.</t>
  </si>
  <si>
    <t>increase the forested area by 40 million hectares and the forest stock volume by
1.3 billion cubic meters compared to the 2005 levels</t>
  </si>
  <si>
    <t>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t>
  </si>
  <si>
    <t>Colombia’s mitigation target seeks to achieve a per capita emissions level of nearly 4.6 Ton CO2eq/capita by 2030. Given the significant share of AFOLU emissions in the national emissions profile (about 58% of the total), Colombia reaffirms its commitment to reduce deforestation in the country and to preserve important ecosystems such as the Amazon region, given its huge potential to contribute to the stabilization of greenhouse gases in the atmosphere.</t>
  </si>
  <si>
    <t>Increase of more than 2.5 million hectares in coverage of newly protected areas in the National System of Protected Areas -SINAP-, in coordination with local and regional stakeholders</t>
  </si>
  <si>
    <t>224  (MtCO2eq)(2010)</t>
  </si>
  <si>
    <t>It was defined that the country will focus its efforts to 2030 jointly with other global targets that contribute to increasing resilience, such as those of the Convention on Biological Diversity (CBD), the 2030 Development Agenda, and the UN Convention to Combat Desertification (UNCCD), as well as the Sendai Framework for Disaster Risk Reduction 2015-2030, in the following strategic lines:</t>
  </si>
  <si>
    <t xml:space="preserve">The AFOLU sector (agriculture, forestry, other land use) is included in the national goal for the Contribution. Costa Rica has been significantly improving metrics to quantify emissions and fixation in these sectors. Costa Rica will continue with improvements in metrics, deriving verifiable information through pilot actions such as NAMAs, Low Carbon Sector Strategies and the National REDD+ strategy, to define, with better accuracy, the sector contributions towards the National Contribution.
Costa Rica proposed since 2007 to compensate its emissions through the removal or offsetting
by the forest sector. The goal proposed to achieve Carbon Neutrality by 2021 with total net emissions comparable to total emissions in 2005.
</t>
  </si>
  <si>
    <t>12.4 M ton</t>
  </si>
  <si>
    <t>Recuperar las áreas de manglares más afectadas del archipiélago cubano y detener en lo posible el deterioro de las crestas de arrecifes de coral.</t>
  </si>
  <si>
    <t>3.6 tCO2 per capita (2010)</t>
  </si>
  <si>
    <t>Through the National Forestry Restoration Program, Ecuador plans to restore 500,000 additional hectares until 2017 and increase this total by 100,000 hectares per year until 2025, counteracting deforestation in the country, contributing to the recuperation of the forest cover and combatting climate change.
zero rate of deforestation</t>
  </si>
  <si>
    <t xml:space="preserve">The sustainability of these actions, especially for the period comprised between 2017 and 2025 depends on international financial support. Additional funding will allow for larger coverage of conservation areas and a broader implementation of the Socio Bosque Program to keep the national objective of adding an additional 2 million hectares in 2017. </t>
  </si>
  <si>
    <t>In the agriculture and other land uses sector, the main contributions until 2025 include the following: the application of actions to reduce the vulnerability of the impacts of draughts, floods, frosts and other climate change impacts in local incorporation of climate change adaptation systems in the zoning of rural areas; the creation of germoplasm banks, the use of species that contribute to decreasing erosion; diversification of species more resistant to climate change; among others.
Another contribution will include the diffusion of technology and knowledge in the agriculture and livestock sector at the local level, as a tool for improving lifestyle and diversification of production. These technologies and knowledge will aid in including variables related to climate change adaptation and generate information on the potential impacts of climate change on the basic basket. Finally, in this sector, technologies that allow for further agricultural diversification and livestock production, as well as response capacity to the impacts of climate change will be identified, disaggregated, adapted and assimilated.</t>
  </si>
  <si>
    <t>71.8  (MtCO2eq) 2010</t>
  </si>
  <si>
    <t>Ecuador is committed to reforestation and forest restoration measures. In May of 2015, the country established a new Guinness World Record on reforestation, planting over 2,200 hectares in a period of 8 hours with over 57,000 trained volunteers.</t>
  </si>
  <si>
    <t xml:space="preserve">se conservará la cobertura arbórea actual – 27% del territorio – manteniendo las áreas naturales, incluido los manglares, los sistemas agroforestales y las plantaciones forestales existentes. Además, se mejorarán las reservas forestales de carbono, incrementando la cobertura en 25% del territorio, con sistemas agroforestales y actividades de reforestación en áreas críticas, como bosques de galería, zonas de recarga acuífera, y zonas propensas a deslizamiento. </t>
  </si>
  <si>
    <t xml:space="preserve">El Salvador presentará antes de la COP 22, metas cuantificables de erradicación de la práctica de la quema de caña y de transición hacia su cultivo sostenible y certificado para el período 2021 – 2025. </t>
  </si>
  <si>
    <t>Promoción de la arquitectura bioclimática y vernácula apropiada para los diferentes tipos de infraestructura (suministro de servicios básicos como agua, vivienda, redes viales, electrificación, etc.). En el periodo 2018-2025, El Salvador ejecutará inversiones en lagunas de laminación para el control de inundaciones del Área Metropolitana de San Salvador, con restauración ambiental y social de espacios. Para el cumplimiento de la meta se establecerán los necesarios medios de implementación que estuvieran fuera del alcance de las finanzas nacionales</t>
  </si>
  <si>
    <t xml:space="preserve">REDD+ y Estrategia Nacional de Restauración del Paisaje Forestal con una meta de 1.2 millones de hectáreas, </t>
  </si>
  <si>
    <t xml:space="preserve">En cuanto a los ecosistemas marino-costeros, se cuenta con una Política para el Manejo Integral de las Zonas Costeras de Guatemala (Acuerdo Gubernativo 328-2009) que ya considera la variable del cambio climático y es coherente con la Política Nacional de Cambio Climático. </t>
  </si>
  <si>
    <t xml:space="preserve">Entre las acciones relevantes se considera la implementación de la estrategia nacional de diversidad biológica y su plan de acción 2012 - 2022, que permita la integración de la diversidad biológica en la adaptación y mitigación al cambio climático y la valoración de los conocimientos ancestrales de los pueblos indígenas, reconociendo el papel de los modelos económicos campesinos e indígenas, culturalmente pertinentes en la adaptación al cambio climático. </t>
  </si>
  <si>
    <t>Continue and improve ongoing work to realize sustainable forest management. GFC will ensure compliance with the various Codes of Practice that govern the timber industry using local resources.
Forest monitoring will maintain a high level of timber legality, with the GFC committing 50% of its staff to field monitoring from its 54 forest monitoring stations countrywide. These efforts will maintain a low rate of illegal logging (at less than 2% of production).
Guyana is also prepared to finalize and implement the Voluntary Partnership Agreement (VPA) under EU- FLEGT. The VPA is expected to be finalized in 2016 and to provide independent accreditation of forest legality and management practices throughout Guyana‟s timber industry.
the conservation of an additional 2 million hectares through Guyana's National Protected Area System and other effective area-based conservation measures as per Guyana's commitment under the UNCBD, including the protection of conservancies and reservoirs and their watersheds and the watersheds upstream of new hydro-power sites. Existing mangrove forests will be counted in this target and the mangrove restoration programme along the vulnerable coast will be expanded.
 comprehensive and robust MRV system, one of the most advanced of its kind, has been developed under Guyana‟s REDD+ programme. The development of this system has contributed considerably to the global understanding of how small forested tropical countries can reliably and cost-effectively measure and report on its forest carbonemissions. Guyana is willing to build on the lessons learnt thus far to complete and maintain its MRVS if adequate financial resources are provided to do so</t>
  </si>
  <si>
    <t>Timber harvesting contributed 40% of Guyana‟s emissions from land use between 2001 and 2012.</t>
  </si>
  <si>
    <t>forestación/reforestación de 1 millón de hectáreas de bosque antes de 2030, reducir en un 39% el consumo de leña en las familias</t>
  </si>
  <si>
    <t>?</t>
  </si>
  <si>
    <t xml:space="preserve">por la importancia económica que representan para el país, por constituir la principal fuente de sustento de grupos indígenas y afro-hondureños y demás comunidades costeras, y por su alta vulnerabilidad, resulta imprescindible la implementación de estrategias que promuevan/ logren mantener la integridad y funcionamiento de estos ecosistemas. </t>
  </si>
  <si>
    <t>To create an additional carbon sink of 2.5 to 3 billion tonnes of CO2 equivalent through additional forest and tree cover by 2030.
Government of India’s long term goal is to bring 33% of its geographical area under forest cover eventually.
To better adapt to climate change by enhancing investments in development programmes in sectors vulnerable to climate change, particularly agriculture, water resources, Himalayan region, coastal regions, health and disaster management.
2) Initiatives like Green India Mission (GIM) aim to further increase the forest/tree cover to the extent of 5 million hectares (mha) and improve quality of forest/tree cover on
another 5 mha of forest/non-forest lands along with providing livelihood support. It is expected to enhance carbon sequestration by about 100 million tonnes CO2 equivalent annually.
Government of India is implementing policies/missions targeting various threats facing agriculture. Some of the important ones are National Food Security Mission, Mission for Integrated Development of Horticulture, National Mission for Sustainable Agriculture, Paramparagat Krishi Vikas Yojana to promote organic farming practices, Pradhan Mantri Krishi Sinchayee Yojana to promote efficient irrigation practices and National Mission on Agricultural Extension &amp; Technology.</t>
  </si>
  <si>
    <t>The successful implementation of INDC is contingent upon an ambitious global agreement including additional means of implementation to be provided by developed country parties, technology transfer and capacity building following Article 3.1 and 4.7 of the Convention.</t>
  </si>
  <si>
    <t>To create an additional carbon sink of 2.5 to 3 billion tonnes of CO2 equivalent through additional forest and tree cover by 2030.
Government of India’s long term goal is to bring 33% of its geographical area under forest cover eventually.</t>
  </si>
  <si>
    <t>2) Initiatives like Green India Mission (GIM) aim to further increase the forest/tree cover to the extent of 5 million hectares (mha) and improve quality of forest/tree cover on
another 5 mha of forest/non-forest lands along with providing livelihood support. It is expected to enhance carbon sequestration by about 100 million tonnes CO2 equivalent annually.
3) These efforts have been further augmented by policies like National Agro-forestry Policy (NAP), REDD-Plus policy, Joint Forest Management; National Afforestation Programme and proposed devolution of about USD 6 billion under Compensatory Afforestation to states.</t>
  </si>
  <si>
    <t>India has developed a biogeographic classification for conservation planning, and has mapped biodiversity rich areas in the country. The protected area network has increased from 427 (3.34% of total geographical area) in 1988 to 690 (5.07% of total geographical area) in 2014.
The National Mission for Sustaining the Himalayan Ecosystem (NMSHE) addresses important issues concerning Himalayan Glaciers and the associated hydrological consequences, biodiversity and wildlife conservation and protection, traditional knowledge societies and their livelihood and planning for sustaining of the Himalayan Ecosystem. Government has also launched National Mission on Himalayan Studies
The main objective of India’s National Water Mission (NWM) is “conservation of water, minimizing wastage and ensuring its more equitable distribution both across and within States through integrated water resources development and management”. 
India is also implementing programmes for Integrated Coastal Zone Management (ICZM). The vision of the project is to build national capacity for implementation of comprehensive coastal management through ecological management, conservation and protection of critical habitats, coastal geomorphology and geology of coastal and marine areas, coastal engineering, socio-economic aspects, policy and legal issues and other related fields in the area of coastal governance.
Another important initiative relating to rivers is the National Mission for Clean Ganga which seeks to rejuvenate the river along its length of more than 2,500 km through multifarious activities such as pollution inventorization, assessment and surveillance and laying of sewage networks, treatment plants etc.
5) The total flood prone area in the country is about 45.64 million ha. Existing flood management mechanisms involve both Central and State Government.
6) Government of India has also set up the National River Conservation Directorate for conservation of rivers, lakes and wetlands in the country and improving the water quality which covers stretches of 40 rivers in 190 towns spread over 20 States.
Another initiative to protect coastal livelihood is ‘Mangroves for the Future (MFF)’ coordinated by International Union for Conservation of Nature (IUCN) in India.</t>
  </si>
  <si>
    <t>India declared a voluntary goal of reducing the emissions intensity of its GDP by 20–25%, over 2005 levels, by 2020, despite having no binding mitigation obligations as per the Convention. Policy measures were launched to achieve this goal. As a result, the emission intensity of our GDP has decreased by 12% between 2005 and 2010.
Both in terms of cumulative global emissions (only 3%) and per capita emission (1.56 tCO2e in 2010), India’s contribution to the problem of climate change is limited but its actions are fair and ambitious.</t>
  </si>
  <si>
    <t>Unconditional: to reduce emissions - the commitment will be implemented through effective land use and spatial planning sustainable forest management including social forestry program, restoring functions of degraded ecosystems, improved agriculture and fisheries productivity
The medium-term goal of Indonesia's climate change adaptation strategy is to reduce risks on all development sectors (agriculture, water, energy security, forestry, maritime and fisheries, health, public service, infrastructure, and urban system) by 2030 through local capacity strengthening, improved knowledge
management, convergent policy on climate change adaptation and disaster risks reduction, and application of adaptive technology.</t>
  </si>
  <si>
    <t>will conditionally increase its contribution up to 41% reduction in emissions by 2030</t>
  </si>
  <si>
    <t>Indonesia has taken significant steps to reduce emissions from Land Use, Land-Use Change and Forestry (LULUCF) by instituting a moratorium on the clearing of primary forests and by prohibiting conversion of peat lands from 2010-2016</t>
  </si>
  <si>
    <t>Indonesia has taken significant steps to reduce emissions from Land Use, Land-Use Change and Forestry (LULUCF) by instituting a moratorium on the clearing of primary forests and by prohibiting conversion of peat lands from 2010-2016. Those ongoing efforts will be strengthened through protection and conservation of its remaining forests by reducing deforestation and forest degradation, restoring ecosystem functions, as well as sustainable forest management which include social forestry through active participation of the private sector, small and medium enterprises, civil society organizations, local communities and the most vulnerable groups, especially adat communities, and women - in both the planning and implementation stages. A landscape-scale and ecosystem management approach, emphasizing the role of sub-national jurisdictions, is seen as critical to ensuring greater, more enduring benefits from these initiatives.</t>
  </si>
  <si>
    <t xml:space="preserve"> The GOI has made significant efforts towards developing and implementing a National Action Plan on Climate Change
Adaptation (RAN-API) which provides a framework for adaptation initiatives that has been
mainstreamed into the National Development Plan.
Indonesia plans to build resilience into its food, water and energy systems through the following enhanced actions:
• Sustainable agriculture and plantations
• Integrated watershed management
• Reduction of deforestation and forest degradation
• Land conservation
• Utilization of degraded land for renewable energy...
In order to build climate resilience, Indonesia must
protect and sustain these environmental services by taking an integrated, landscape-based
approach in managing its terrestrial, coastal and marine ecosystems. The following are
enhanced actions to support ecosystem and landscape resilience:
• Ecosystem conservation and restoration
• Social forestry
• Coastal zone protection
• Integrated watershed management
• Climate resilient cities.
The strategic approach of Indonesia's INDC is predicated on the
following foundational principles:
• Employing a landscape approach: Recognizing that climate change adaptation and
mitigation efforts are inherently multi-sectoral in nature, Indonesia takes an integrated,
landscape-scale approach covering terrestrial, coastal and marine ecosystems,
implemented through capacity building of the sub-national jurisdictions.
• Highlighting existing best practices: Recognizing significant strides in multi-stakeholder
efforts in combating climate change, Indonesia intends to scale up the diversity of
traditional wisdom based as well as innovative climate mitigation and adaptation efforts
by government, the private sector, and communities.
Promoting climate resilience in food, water and energy: Recognizing the need to fulfill
the needs of a growing young population for food, water and energy, Indonesia will
improve its management of natural resources to enhance climate resilience by protecting
and restoring key terrestrial, coastal and marine ecosystems.</t>
  </si>
  <si>
    <t>According to Indonesia's Second National Communication of 2010, national greenhouse gas (GHG) emissions were estimated to be 1,800 MtC02e in 2005.
Committed to reduce unconditionally 26% of its GHG agains BOU by 2020.  This is a necessary pre-requisite for embarking on a bolder commitment to further reductions by 2020 and beyond.</t>
  </si>
  <si>
    <t>Most emissions (63%) are the result of land use change and
peat and forest fires</t>
  </si>
  <si>
    <t>Japan’s GHG emissions per gross domestic product (GDP) are 0.29
kg-CO2eq./U.S. dollar in 2013 and per capita are 11t-CO2eq./person in
2013, while the energy efficiency of the country as a whole (primary
energy supply/GDP) is 95 t of oil equivalent/U.S. million dollars in 2013, all of which are already at the leading level among developed countries.</t>
  </si>
  <si>
    <t>70% forest cover by 2020 and maintain this through 2030, conditional target</t>
  </si>
  <si>
    <t xml:space="preserve">Intended Mitigation Activities to be implemented by Lao PDR in 2015-2030:
- Implementation of “Forestry Strategy to the year 2020” of the Lao PDR
</t>
  </si>
  <si>
    <t>Lao PDR is highly climate-vulnerable, and the country’s greenhouse (GHG) emissions were only 51,000 Gg2 in the year 2000</t>
  </si>
  <si>
    <t>20-24% of the global Greenhouse Gas (GHG)</t>
  </si>
  <si>
    <t>Agriculture: Strengthen existing climate risk insurance mechanism to protect the farmers and reduce the income losses
from extreme weather events.
· Establishment of strategic food storage facilities and distribution centres across the country as an adaptive
measure to increase accessibility and reduce the risk of food shortages during extreme events.
· Promotion and introduction of alternative technologies to make local agriculture more resilient.
· Establish mechanisms to ensure food security to citizens in case of extreme events and market
irregularities.</t>
  </si>
  <si>
    <t>Provision of Integrated Water Resource Management Schemes which includes rainwater harvesting,
groundwater recharging and desalination.
Facilitate and continue to invest in coastal protection of
inhabited islands and resorts.
· Include land elevation, shore protection and reclamation as an adaptation measures to increase resilience of vulnerable islands.
Coral reefs conservation through ecosystem approach
as an adaptation measure to increase the resilience of
the coral reef ecosystem.
· Reduction of sources of pollution through appropriate
policies, development of appropriate sewage treatment
systems on the islands, management and safe disposal
of solid waste are considered as an adaption measures
to protect the coral reefs.</t>
  </si>
  <si>
    <t>Energy consumption
contributes to about 1.04 million tonnes of CO2 emissions in 2011 which is about n0.003% of global emissions. Energy consumption in various sectors constitutes a
major share of the country’s GHG emissions.
Unconditional Reduction
“In accordance with Decisions 1/CP.19 and 1/CP.20, Maldives communicates
that it intends to reduce unconditionally 10% of its Greenhouse Gases (below
BAU) for the year 2030”
Conditional Reduction
“The 10% reduction expressed above could be increased up to 24% in a
conditional manner, in the context of sustainable development, supported and
enabled by availability of financial resources, technology transfer and capacity
building.</t>
  </si>
  <si>
    <t>Actions to be implemented for the period 2020 – 2030 on ecosystem adaptation are the following:
i. Reach a rate of 0% deforestation by the year 2030.
ii. Reforest high, medium and low watersheds with special attention to riparian zones and taking into account native species in the area.
iii. Conserve and restore ecosystems in order to increase ecological connectivity of all Natural Protected Areas and other conservation schemes, through biological corridors and sustainable productive activities. This approach will take into account the equitable participation of the population and will have a territorial approach.
iv. Substantially increase the Programs of Action and Conservation of Species in order to strengthen the protection of priority species from the negative impacts of climate change.
v. Increase carbon capture and strengthen coastal protection with the implementation of a scheme of conservation and recovery of coastal and marine ecosystems such as coral reefs, mangroves, sea grass and dunes.
vi. Guarantee the integral management of water for its different uses (agriculture, ecological, urban, industrial and domestic).</t>
  </si>
  <si>
    <t>906 MtCO2e (2020)</t>
  </si>
  <si>
    <t xml:space="preserve">The intensification of dry climatic conditions cause the increase of the frequency of forest and steppe
fires, the occurrence and the intensity of forest insect and pest outbreaks. As a result, the forest area
is reduced by 0.46% annually, and forest resources have been degraded significantly. </t>
  </si>
  <si>
    <t>The Government has a strategy to maintain at least 40% of the total area of the country under forests.</t>
  </si>
  <si>
    <t>The Government has announced a forest decade for 2014-2023, with a theme: 'one house one tree, one village one forest and one town several parks'</t>
  </si>
  <si>
    <t>The primary mitigation effort of PNG lies in reducing emissions from land use change and forestry.
PNG can contribute to addressing the global mitigation gap by reducing deforestation and promoting
forest conservation and sustainable management of its forests. The main forestry effort will be
coordinated though the existing REDD+ initiative</t>
  </si>
  <si>
    <t xml:space="preserve">Desde el año 1973 cuenta con una Ley Forestal que obliga a los propietarios a mantener el veinticinco por ciento de su área de bosques naturales, y en caso de no tener este porcentaje mínimo, el propietario deberá reforestar una superficie equivalente al cinco por ciento de la superficie del predio. Además, en la Reserva de la Biosfera del Chaco los propietarios deben poseer como mínimo cincuenta por ciento de la superficie con mínimas alteraciones antrópicas, o en condiciones naturales, y preferentemente la realización de actividades tendientes al mantenimiento de Servicios Ambientales. </t>
  </si>
  <si>
    <t>Reduce the negative impact of climate change on the agrarian activity (agriculture, livestock and forestry).
Promote comprehensive land management with a landscape approach, oriented to increase forests resilience to CC, and reduce the vulnerability of local populations.</t>
  </si>
  <si>
    <t>170.6 (MtCO2eq) 2010</t>
  </si>
  <si>
    <t xml:space="preserve">The Philippines intends to undertake GHG (CO2e) emissions reduction of about 70% by 2030 relative to its BAU scenario of 2000-2030. Reduction of CO2e emissions will come from energy, transport, waste, forestry and industry sectors. </t>
  </si>
  <si>
    <t>The mitigation contribution is conditioned on the extent of financial resources, including technology development &amp; transfer, and capacity building, that will be made available to the Philippines.</t>
  </si>
  <si>
    <t>INDC for Biodiversity</t>
  </si>
  <si>
    <t>Suriname has taken a comprehensive approach to the management of its forests through the Forest Management Act (1992), National Forest Policy (2003) and Interim Strategic Action Plan for the Forest Sector (2008) and has been able to maintain its high forest cover and low deforestation rate through stringent management of forests by adopting and implementing sustainable forest management practices. Enhanced efforts at forest monitoring to address illegal logging as well as the adoption of tools such as Reduced Impact logging (RIL) in the logging sector has helped to maintain a low environmental and carbon footprint. However, much more detailed information on forest resources is needed and in this regard Suriname is currently piloting a national forest inventory. Suriname intends to increase efforts at sustainable forest and ecosystem management and stabilizing and minimizing deforestation and forest degradation unconditionally.
Additionally, to support its efforts at maintaining the integrity of forest ecosystems and keeping with its obligations regarding the United Nations Convention on Biological Diversity, Suriname has established 13% of its total land area under a national protection system and will continue to pursue the expansion of this system by increasing the percentage of forests and wetlands under preservation.
Suriname intends to continue to practice sustainable forestry management in an effort to promote multiple use of its forest resources while at the same time exploring options for the payment of forest climate services that its forest provide. Through this approach, and with adequate financial incentives and support, Suriname intends to maintain its high forest cover and low deforestation rate. As part of this approach, Suriname is keen to strengthen forest governance institutions and collaboration with the private sector and other stakeholders and to expand its program of awareness, monitoring and enforcement while also promoting research and acomprehensive forest inventory to provide detailed information on forests.
Suriname is currently undertaking a process of REDD+ Readiness at the national level and initial steps are being taken to assess the drivers of deforestation and to develop strategy, approaches, and options among the key sectors including agriculture, logging, and mining. Also, estimation of national carbon stocks and the development of a Monitoring, Reporting and Verification (MRV) System are underway.
A draft law for the protection of the mangrove forest along the North Atlantic coast of Suriname was prepared by the government. In addition, coastline stabilization by means of  wave breakers  to reduce wave force, promote sedimentation and subsequent mangrove regeneration, will increase mangrove forest stock and carbon sequestration.</t>
  </si>
  <si>
    <t xml:space="preserve"> In 2012, per capita GHG emissions is at 5.63 tCO2e and emissions per GDP (US$ million) is 409.54 tCO2e</t>
  </si>
  <si>
    <t>13200 Gg annually (19200 Gg annually)</t>
  </si>
  <si>
    <t>Remove 13200 Gg annually (With domestic resources)
Remove 19200 Gg annually (With additional means of implementation)</t>
  </si>
  <si>
    <t>By 2030 annual CO2 removals from native forests by means of domestic resources are expected to be around 1300 Gg and up to 2500 Gg with additional means of implementation. Furthermore, between 1990 and 2010 Uruguay afforested 689000 effective hectares with tree plantations, which accounts for a 430% increase of the total surface planted in the period. Carbon sequestration levels in tree plantations and in growing native forests have determined that Uruguay, at the beginning of this century, behaved as a net CO2 sink. Uruguay expects to contribute, from 2010 to 2030, by means of domestic resources, with an additional expansion of the total tree plantation area of about 300000 hectares, which will account for total annual removals of 11200 Gg of CO2 in 2030.
In addition, within the REDD+ framework, Uruguay will be able to contribute by removing carbon and preventing emissions that could primarily be estimated in a further 2100 Gg of CO2 in 2030.
The aggregate result for forestry removals supported by domestic resources amounts to 12500 Gg of CO2 in 2030, which could, reach 15800 Gg if provided with additional means of implementation.
Additionally, Uruguay has a great carbon sequestration potential through soils under degraded grasslands and eroded croplands. With regard to degraded grasslands, removals by 2030 are estimated to be 600 Gg by means of domestic resources and a total of 3300 Gg with additional means of implementation. With regard to carbon in cropland soils, Uruguay has broadly introduced no till agriculture, and has recently implemented mandatory conservation policies that reduce erosion and will promote an increase in biomass supply to the soil. Moreover, it is fostering the use of irrigation. The net impact of these measures can initially be estimated at about 100 Gg CO2 captured by 2030.
Uruguay would then remove, through carbon sequestration in soils, 700 Gg CO2 annually in 2030 by means of domestic resources and a total of 3400 Gg CO2 with additional means of implementation.</t>
  </si>
  <si>
    <t xml:space="preserve">Development and strengthening of the National Protected areas System, which contributes to the protection of climate change and variability vulnerable biodiversity and ecosystems. 
Restoration and maintenance of coastal ecosystems services that provide protection against extreme events and of ecosystems services that protect drinking water sources. 
Overhaul and maintenance of road infrastructure, especially in coastal/ flood sensitive areas, taking into account climate change and variability. 
Development of research and data collection programs and networks on the impacts and adaptation to climate change and variability.
Development of information systems, climate services and monitoring programs, particularly for the environmental, agriculture and emergency sectors, and development of early warning systems, to support decision-making. </t>
  </si>
  <si>
    <t xml:space="preserve">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t>
  </si>
  <si>
    <t xml:space="preserve">- Development of soil use and management plans to reduce erosion and preservation of organic matter in croplands. </t>
  </si>
  <si>
    <t xml:space="preserve">measures to reduce the risk of floods. </t>
  </si>
  <si>
    <t>% of restoration potential targeted under Bonn</t>
  </si>
  <si>
    <t>Cambodia intends to undertake voluntary and conditional actions to achieve the target of increasing forest cover to 60% of national land area by 2030. In absence of any actions the net sequestration from LULUCF is expected to
6
reduce to vv</t>
  </si>
  <si>
    <t xml:space="preserve">4.7 tCO2eq/ha/year </t>
  </si>
  <si>
    <t>70% forest cover by 2020 and maintain this through 2030 (National Forest Strategy) (Conditional target)</t>
  </si>
  <si>
    <t>40% of the total area of the country under forests</t>
  </si>
  <si>
    <t>10% emission reduction in forest sector</t>
  </si>
  <si>
    <t>Increase forest area by 4.5 million hectares by 2030</t>
  </si>
  <si>
    <t>Greenhouse gas sequestration and reduction of 600 000 TCo2 by 2030</t>
  </si>
  <si>
    <t>development and recovery of 100,000 hectares of forest land</t>
  </si>
  <si>
    <t>40 million ha increase in forest cover by 2030 as compared to 2005</t>
  </si>
  <si>
    <t>1.3 billion cubic meter increase in forest stock volume as compared to 2005</t>
  </si>
  <si>
    <t>Restore 500,000 hectares of forest by 2017 and 1,300,000 by 2025</t>
  </si>
  <si>
    <t>Restore 1,200,000 of forest landscapes</t>
  </si>
  <si>
    <t>Aforestation and reforestation of 1 million hectares by 2030</t>
  </si>
  <si>
    <t>Reduce by 39% hoousehold consumption of fuelwood</t>
  </si>
  <si>
    <t>Carbon sink of 2.5 to 3 billion tonnes of CO2 equivalent through additional forest and tree cover by 2030.</t>
  </si>
  <si>
    <t>Bring 33% of its geographical area under forest cover eventually</t>
  </si>
  <si>
    <t xml:space="preserve">Forest cover increase from 29 to 32% by 2030 </t>
  </si>
  <si>
    <t>AT 5</t>
  </si>
  <si>
    <t xml:space="preserve">Quantitative target for the reduction of natural habitat loss </t>
  </si>
  <si>
    <t>Quantitative element for the restoration of natural habitat</t>
  </si>
  <si>
    <t>Alignement with INDC</t>
  </si>
  <si>
    <t>Restoring and reforesting 12 million hectares of forests by 2030</t>
  </si>
  <si>
    <t>Compensating for greenhouse gas emissions from legal suppression of vegetation by 2030</t>
  </si>
  <si>
    <t>(concatenation)</t>
  </si>
  <si>
    <t>1,2, 3</t>
  </si>
  <si>
    <t>Assessment of state and trends of ecosystems
 (23 elements)</t>
  </si>
  <si>
    <t>Diagnostic of drivers and responses
(8 elements)</t>
  </si>
  <si>
    <t>CC adaptation
(6 elements)</t>
  </si>
  <si>
    <t>CC mitigation
(9 elements)</t>
  </si>
  <si>
    <t>Mapa de pérdida de humedales</t>
  </si>
  <si>
    <t>Etendue de forêts</t>
  </si>
  <si>
    <t>Etendue de zones humides</t>
  </si>
  <si>
    <t>Etendue d'autres ecosytèmes naturels</t>
  </si>
  <si>
    <t>Cartographie des forêts</t>
  </si>
  <si>
    <t>Cartographie des zones humides</t>
  </si>
  <si>
    <t>Cartographie d'autres ecosystèmes naturels</t>
  </si>
  <si>
    <t>Cartographie des ecosystèmes</t>
  </si>
  <si>
    <t>Taux de perte de la couverture forestière</t>
  </si>
  <si>
    <t>Cartographie des pertes de couverture forestière</t>
  </si>
  <si>
    <t>Taux de perte des zones humides</t>
  </si>
  <si>
    <t>Cartographie de la perte des zones humides</t>
  </si>
  <si>
    <t>Taux de perte d'autres ecosystèmes naturels</t>
  </si>
  <si>
    <t>Etendue de forêts dégradées</t>
  </si>
  <si>
    <t>Cartographie des forêts dégradées</t>
  </si>
  <si>
    <t>Etendue de zones humides dégradées</t>
  </si>
  <si>
    <t>Cartographie des zones humides dégradées</t>
  </si>
  <si>
    <t>Etendue d'autres ecosytèmes naturels dégradés</t>
  </si>
  <si>
    <t>Cartographie d'autres ecosystèmes naturels dégradés</t>
  </si>
  <si>
    <t>Indicateu(r) du degré de dégradation des forêts</t>
  </si>
  <si>
    <t>Indicateu(r) du degré dégradation des zones humides</t>
  </si>
  <si>
    <t>Indicateur(s) du degré dégradation des autres écosystèmes terrestres</t>
  </si>
  <si>
    <t>Indicateur(s) du degré dégradation des écosystèmes marins</t>
  </si>
  <si>
    <t>Objectif national répondant à l'Objectif d'Aichi 5</t>
  </si>
  <si>
    <t>Taux ciblé de réduction de la perte des écosystèmes naturels</t>
  </si>
  <si>
    <t>Date ou période cible pour la réalisation de l'objectif</t>
  </si>
  <si>
    <t>Spécification de la période de référence</t>
  </si>
  <si>
    <t>Prioritisation de certains écosystèmes</t>
  </si>
  <si>
    <t>Objectif national répondant à l'Objectif d'Aichi 15</t>
  </si>
  <si>
    <t>Actions de conservation ayant pour objectif la préservation du carbone de la biomasse dans les écosytèmes naturels</t>
  </si>
  <si>
    <t>Objectif quantitatif de conservation du carbone des écosystèmes naturels</t>
  </si>
  <si>
    <t>Actions de restauration ayant pour objectif la restauration du carbone de la biomasse dans les écosytèmes naturels</t>
  </si>
  <si>
    <t>Objecfif quantitatif de restauration des écosystèmes naturels</t>
  </si>
  <si>
    <t>Ventilation des objectifs de restauration par écosytème</t>
  </si>
  <si>
    <t>Cartographie des zones cibles pour la restauration</t>
  </si>
  <si>
    <t>Description des moteurs de perte et de dégradation</t>
  </si>
  <si>
    <t>Indentification des moteurs spécifiques par écosystème</t>
  </si>
  <si>
    <t>Identification des moteurs directs et indirects</t>
  </si>
  <si>
    <t>Cartographie des moteurs de la perte et dégradation</t>
  </si>
  <si>
    <t>Description des mesures planifiées pour mettre en œuvre les objectifs nationaux</t>
  </si>
  <si>
    <t>Mesures spécifiques en fonction des moteurs</t>
  </si>
  <si>
    <t>Mesures spécifiques pour contrer la perte, dégradation et fragmentation</t>
  </si>
  <si>
    <t>Planification spatiale des mesures envisagées</t>
  </si>
  <si>
    <t>Référence à la Stratégie REDD+</t>
  </si>
  <si>
    <t>Usage des données du niveau de référence REDD+</t>
  </si>
  <si>
    <t>Usage des données MRV REDD+</t>
  </si>
  <si>
    <t>Evaluation quantitative des stocks et de la densité de carbone des forêts</t>
  </si>
  <si>
    <t>Evaluation quantitative des stocks et de la densité de carbone des zones humides</t>
  </si>
  <si>
    <t>Evaluation quantitative des stocks et de la densité de carbone des autres écosystèmes</t>
  </si>
  <si>
    <t>Cartographie de la densité en carbone des écosystèmes</t>
  </si>
  <si>
    <t>Considération de la résilience des écosystèmes</t>
  </si>
  <si>
    <t>Cartographie des écosystèmes vulnérables au changement climatique</t>
  </si>
  <si>
    <t>Liens avec la lutte contre la désertification</t>
  </si>
  <si>
    <t>Aire de perte des écosystèmes naturels au sein des aires protégées</t>
  </si>
  <si>
    <t>Aire ou degré de dégradation des écosystèmes naturels dans les aires protégées</t>
  </si>
  <si>
    <t>Objectif quantifié de restauration dans les aires protégées</t>
  </si>
  <si>
    <t xml:space="preserve">Extensión de bosques </t>
  </si>
  <si>
    <t>Extensión de humedales</t>
  </si>
  <si>
    <t>Extensión de otros ecosistemas</t>
  </si>
  <si>
    <t>Cartographie de la perte des autres ecosystèmes</t>
  </si>
  <si>
    <t>Mapa de pérdida de otros ecosistemas</t>
  </si>
  <si>
    <t>Extensión de la degradación de bosques</t>
  </si>
  <si>
    <t>Mapa de la degradación de bosques</t>
  </si>
  <si>
    <t>Extensión de la degradación de humedales</t>
  </si>
  <si>
    <t>Mapa de la degradación de humedales</t>
  </si>
  <si>
    <t>Extensión de la degradación de otros ecosistemas</t>
  </si>
  <si>
    <t>Mapa de degradación de otros ecosistemas</t>
  </si>
  <si>
    <t>Indicador de la degradación de bosques</t>
  </si>
  <si>
    <t>Indicador de la degradación de humedales</t>
  </si>
  <si>
    <t>Indicador de la degradación en otros ecosistemas terrestres</t>
  </si>
  <si>
    <t>Indicador de la degradación en otros ecosistemas marinos</t>
  </si>
  <si>
    <t>Meta nacional para la Meta de Aichi 5</t>
  </si>
  <si>
    <t>Ritmo de la disminución de la pérdida de ecosistemas</t>
  </si>
  <si>
    <t>Año objetivo</t>
  </si>
  <si>
    <t>Especificación del año de referencia</t>
  </si>
  <si>
    <t>Priorización de ciertos ecosistemas</t>
  </si>
  <si>
    <t>Meta nacional para la Meta de Aichi 15</t>
  </si>
  <si>
    <t>Meta cuantitativa para la conservación de carbono en ecosistemas naturales</t>
  </si>
  <si>
    <t>Meta cuantitativa para el aumento de carbono en ecosistemas naturales</t>
  </si>
  <si>
    <t>Área cuantitativa para la restauración</t>
  </si>
  <si>
    <t>Mapa del área designada para la restauración</t>
  </si>
  <si>
    <t>Descripción de los factores de pérdida y degradación</t>
  </si>
  <si>
    <t>Identificación de factores específicos por ecosistema</t>
  </si>
  <si>
    <t>Identificación de los factores próximos y subyacentes</t>
  </si>
  <si>
    <t>Descripción de las medidas adoptadas para implementar las metas</t>
  </si>
  <si>
    <t>Las medidas específicas están relacionadas con factores específicos</t>
  </si>
  <si>
    <t>Las medidas específicas se refieren a la pérdida, degradación y fragmentación</t>
  </si>
  <si>
    <t>Planeamiento espacial para la implementación de las medidas</t>
  </si>
  <si>
    <t>Acciones de conservación dirigidas específicamente a preservar el carbono de la biomasa en ecosistemas naturales</t>
  </si>
  <si>
    <t>Acciones de restauración dirigidas específicamente a preservar el carbono de la biomasa en ecosistemas naturales</t>
  </si>
  <si>
    <t>Referencia a la estrategia de REDD+</t>
  </si>
  <si>
    <t>Uso de información de referencia de REDD+ (pasada)</t>
  </si>
  <si>
    <t>Uso de información REDD+MRV</t>
  </si>
  <si>
    <t>Consideración acerca de la resiliencia de ecosistemas</t>
  </si>
  <si>
    <t>Mapa de vulnerabilidad climática</t>
  </si>
  <si>
    <t>Área de pérdida en áreas protegidas</t>
  </si>
  <si>
    <t>Área o grado de degradación en áreas protegidas</t>
  </si>
  <si>
    <t>Meta cuantitativa para la restauración en áreas protegidas</t>
  </si>
  <si>
    <t>Evaluación cuantitativa de las reservas o la densidad de carbono en bosques</t>
  </si>
  <si>
    <t>Evaluación cuantitativa de las reservas o la densidad de carbono en turberas</t>
  </si>
  <si>
    <t>NO</t>
  </si>
  <si>
    <t>YES</t>
  </si>
  <si>
    <t>workshop</t>
  </si>
  <si>
    <t>Bogota</t>
  </si>
  <si>
    <t>Bangkok</t>
  </si>
  <si>
    <t>Accra</t>
  </si>
  <si>
    <t>Bonn Challenge</t>
  </si>
  <si>
    <r>
      <t xml:space="preserve">INDC commitment
</t>
    </r>
    <r>
      <rPr>
        <b/>
        <sz val="11"/>
        <color rgb="FFFFFF00"/>
        <rFont val="Abadi MT Condensed Light"/>
      </rPr>
      <t>(DO NOT EDIT, draws from other columns for country file)</t>
    </r>
  </si>
  <si>
    <r>
      <t xml:space="preserve">Assessment of </t>
    </r>
    <r>
      <rPr>
        <b/>
        <i/>
        <u/>
        <sz val="11"/>
        <color theme="1"/>
        <rFont val="Abadi MT Condensed Light"/>
      </rPr>
      <t>area</t>
    </r>
    <r>
      <rPr>
        <sz val="11"/>
        <color theme="1"/>
        <rFont val="Abadi MT Condensed Light"/>
      </rPr>
      <t xml:space="preserve"> of ecosystem degradation (1 forest, 2 wetlands, 3 other - "s" if spatially explicit information included </t>
    </r>
  </si>
  <si>
    <r>
      <t xml:space="preserve">Indicator of </t>
    </r>
    <r>
      <rPr>
        <b/>
        <i/>
        <u/>
        <sz val="11"/>
        <color theme="1"/>
        <rFont val="Abadi MT Condensed Light"/>
      </rPr>
      <t>degree</t>
    </r>
    <r>
      <rPr>
        <sz val="11"/>
        <color theme="1"/>
        <rFont val="Abadi MT Condensed Light"/>
      </rPr>
      <t xml:space="preserve"> of degradation (1 forest, 2 wetland, 3 other terrestrial, 4 marine)</t>
    </r>
  </si>
  <si>
    <r>
      <rPr>
        <b/>
        <sz val="11"/>
        <color theme="1"/>
        <rFont val="Abadi MT Condensed Light"/>
      </rPr>
      <t xml:space="preserve">Link with AT 11 on Protected Areas - </t>
    </r>
    <r>
      <rPr>
        <sz val="11"/>
        <color theme="1"/>
        <rFont val="Abadi MT Condensed Light"/>
      </rPr>
      <t>1 Area of loss in PA; 2 Area of degradation in PA; 3 Area restored in PA, 4 area of increase in PA</t>
    </r>
  </si>
  <si>
    <r>
      <rPr>
        <b/>
        <sz val="11"/>
        <color indexed="10"/>
        <rFont val="Abadi MT Condensed Light"/>
      </rPr>
      <t>(pg. 62)</t>
    </r>
    <r>
      <rPr>
        <sz val="11"/>
        <color indexed="8"/>
        <rFont val="Abadi MT Condensed Light"/>
      </rPr>
      <t xml:space="preserve">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</si>
  <si>
    <r>
      <rPr>
        <b/>
        <sz val="11"/>
        <color indexed="8"/>
        <rFont val="Abadi MT Condensed Light"/>
      </rPr>
      <t>5NR- p. 45 -  Objectif 16 :</t>
    </r>
    <r>
      <rPr>
        <sz val="11"/>
        <color indexed="8"/>
        <rFont val="Abadi MT Condensed Light"/>
      </rPr>
      <t xml:space="preserve"> D’ici à 2017, la contribution de la biodiversité nationale aux stocks de carbone est évaluée et des mesures pour son amélioration sont prises notamment par le renforcement de la résilience des écosystèmes et la restauration de ceux dégradés</t>
    </r>
  </si>
  <si>
    <r>
      <rPr>
        <b/>
        <sz val="11"/>
        <color indexed="8"/>
        <rFont val="Abadi MT Condensed Light"/>
      </rPr>
      <t xml:space="preserve"> NBSAP- P. 112-</t>
    </r>
    <r>
      <rPr>
        <sz val="11"/>
        <color indexed="8"/>
        <rFont val="Abadi MT Condensed Light"/>
      </rPr>
      <t xml:space="preserve">BY 2020, MANGROVE FOREST AND ASSOCIATED COASTAL FOREST DEGRADATION AND LOSS SHOULD HAVE BEEN SIGNIFICANTLY REDUCED 
</t>
    </r>
    <r>
      <rPr>
        <b/>
        <u/>
        <sz val="11"/>
        <color indexed="8"/>
        <rFont val="Abadi MT Condensed Light"/>
      </rPr>
      <t xml:space="preserve">Performace indicators
</t>
    </r>
    <r>
      <rPr>
        <sz val="11"/>
        <color indexed="8"/>
        <rFont val="Abadi MT Condensed Light"/>
      </rPr>
      <t xml:space="preserve">• E.2.1.1 Surface area (ha) of mangrove forests replanted and/or regenerated annually;
</t>
    </r>
    <r>
      <rPr>
        <b/>
        <sz val="11"/>
        <color indexed="8"/>
        <rFont val="Abadi MT Condensed Light"/>
      </rPr>
      <t xml:space="preserve">• E.2.1.2 </t>
    </r>
    <r>
      <rPr>
        <sz val="11"/>
        <color indexed="8"/>
        <rFont val="Abadi MT Condensed Light"/>
      </rPr>
      <t xml:space="preserve">Number of tree nurseries established and plant population in them;
</t>
    </r>
    <r>
      <rPr>
        <b/>
        <sz val="11"/>
        <color indexed="8"/>
        <rFont val="Abadi MT Condensed Light"/>
      </rPr>
      <t xml:space="preserve">• E.2.1.3 </t>
    </r>
    <r>
      <rPr>
        <sz val="11"/>
        <color indexed="8"/>
        <rFont val="Abadi MT Condensed Light"/>
      </rPr>
      <t xml:space="preserve">Number of workshops
</t>
    </r>
    <r>
      <rPr>
        <b/>
        <sz val="11"/>
        <color indexed="8"/>
        <rFont val="Abadi MT Condensed Light"/>
      </rPr>
      <t xml:space="preserve">• E.2.1.4 </t>
    </r>
    <r>
      <rPr>
        <sz val="11"/>
        <color indexed="8"/>
        <rFont val="Abadi MT Condensed Light"/>
      </rPr>
      <t>Surface area of mangrove forests under sustainable utilization 
•</t>
    </r>
    <r>
      <rPr>
        <b/>
        <sz val="11"/>
        <color indexed="8"/>
        <rFont val="Abadi MT Condensed Light"/>
      </rPr>
      <t xml:space="preserve"> E.2.2.1</t>
    </r>
    <r>
      <rPr>
        <sz val="11"/>
        <color indexed="8"/>
        <rFont val="Abadi MT Condensed Light"/>
      </rPr>
      <t xml:space="preserve"> Number of projects promoting the use of alternative energy in the marine and coastal areas.
</t>
    </r>
    <r>
      <rPr>
        <b/>
        <sz val="11"/>
        <color indexed="8"/>
        <rFont val="Abadi MT Condensed Light"/>
      </rPr>
      <t xml:space="preserve">• E.2.2.2 </t>
    </r>
    <r>
      <rPr>
        <sz val="11"/>
        <color indexed="8"/>
        <rFont val="Abadi MT Condensed Light"/>
      </rPr>
      <t xml:space="preserve">Number of improved ovens in use 
</t>
    </r>
    <r>
      <rPr>
        <b/>
        <sz val="11"/>
        <color indexed="8"/>
        <rFont val="Abadi MT Condensed Light"/>
      </rPr>
      <t>• E.2.3.1</t>
    </r>
    <r>
      <rPr>
        <sz val="11"/>
        <color indexed="8"/>
        <rFont val="Abadi MT Condensed Light"/>
      </rPr>
      <t xml:space="preserve"> Surface area of spawning grounds regenerated andprotected; </t>
    </r>
  </si>
  <si>
    <r>
      <rPr>
        <b/>
        <i/>
        <sz val="11"/>
        <color indexed="8"/>
        <rFont val="Abadi MT Condensed Light"/>
      </rPr>
      <t>NBSAP - p.52 -</t>
    </r>
    <r>
      <rPr>
        <i/>
        <sz val="11"/>
        <color indexed="8"/>
        <rFont val="Abadi MT Condensed Light"/>
      </rPr>
      <t xml:space="preserve"> Ecosystem resilience and the contribution of biodiversity to carbon stock have been enhanced, through conservation and restoration, including restoration of at least 15% of degraded ecosystems</t>
    </r>
  </si>
  <si>
    <r>
      <rPr>
        <b/>
        <sz val="11"/>
        <color indexed="10"/>
        <rFont val="Abadi MT Condensed Light"/>
      </rPr>
      <t>(pg. 126)</t>
    </r>
    <r>
      <rPr>
        <sz val="11"/>
        <color indexed="8"/>
        <rFont val="Abadi MT Condensed Light"/>
      </rPr>
      <t xml:space="preserve"> By 2020 at least 5 % of degraded ecosystems are restored /rehabilitated to increase their resilience By 2020 the country will have increased the tree cover to 10% NCCRS and Action plan by 2017</t>
    </r>
  </si>
  <si>
    <r>
      <rPr>
        <b/>
        <sz val="11"/>
        <color indexed="8"/>
        <rFont val="Abadi MT Condensed Light"/>
      </rPr>
      <t xml:space="preserve">5NR- p.43- </t>
    </r>
    <r>
      <rPr>
        <sz val="11"/>
        <color indexed="8"/>
        <rFont val="Abadi MT Condensed Light"/>
      </rPr>
      <t>By 2020 area under forest cover is increased by 4% and managed sustainably, ensuring conservation of biodiversity</t>
    </r>
  </si>
  <si>
    <r>
      <rPr>
        <b/>
        <sz val="11"/>
        <color indexed="10"/>
        <rFont val="Abadi MT Condensed Light"/>
      </rPr>
      <t xml:space="preserve">(pg. 128) </t>
    </r>
    <r>
      <rPr>
        <sz val="11"/>
        <color indexed="8"/>
        <rFont val="Abadi MT Condensed Light"/>
      </rPr>
      <t xml:space="preserve">This target is partially
incorporated into the NBSAP
2003- 2010, and include the
following national target:
i) Existence of a program for
the rehabilitation and
restoration of degraded
ecosystems
</t>
    </r>
  </si>
  <si>
    <r>
      <t>1</t>
    </r>
    <r>
      <rPr>
        <b/>
        <sz val="11"/>
        <color rgb="FF3F3F76"/>
        <rFont val="Abadi MT Condensed Light"/>
      </rPr>
      <t>,2</t>
    </r>
    <r>
      <rPr>
        <sz val="11"/>
        <color rgb="FF3F3F76"/>
        <rFont val="Abadi MT Condensed Light"/>
      </rPr>
      <t>,3</t>
    </r>
  </si>
  <si>
    <r>
      <rPr>
        <b/>
        <sz val="11"/>
        <color indexed="8"/>
        <rFont val="Abadi MT Condensed Light"/>
      </rPr>
      <t>National Target 14:</t>
    </r>
    <r>
      <rPr>
        <sz val="11"/>
        <color theme="1"/>
        <rFont val="Abadi MT Condensed Light"/>
      </rPr>
      <t xml:space="preserve"> By 2020, 30% of the country is covered by forests hence increasing carbon stocks and contributing to climate change mitigation and adaptation. </t>
    </r>
  </si>
  <si>
    <r>
      <rPr>
        <b/>
        <sz val="11"/>
        <color indexed="8"/>
        <rFont val="Abadi MT Condensed Light"/>
      </rPr>
      <t>5 NR- P.74 - Relevant national 5-year target(s) from NBF 2008. (table)</t>
    </r>
    <r>
      <rPr>
        <sz val="11"/>
        <color indexed="8"/>
        <rFont val="Abadi MT Condensed Light"/>
      </rPr>
      <t xml:space="preserve">
* National programme dealing with ecosystem adaptation to climate change has been
developed and is accepted by all stakeholders.
</t>
    </r>
  </si>
  <si>
    <t>1,000,000 (Atlantic Forest Restoration Pact)</t>
  </si>
  <si>
    <t>AFR 100; Bonn Challenge</t>
  </si>
  <si>
    <t xml:space="preserve">7,500,000 (+250,000 Yucatan, 300,000 Quintana Roo, 400,000 Campeche) </t>
  </si>
  <si>
    <t>Made a restoration commitment</t>
  </si>
  <si>
    <t>Yet to revise NBSAP</t>
  </si>
  <si>
    <t>Quantitative ecosystem based commitment in INDC</t>
  </si>
  <si>
    <t>HLS Scoring</t>
  </si>
  <si>
    <r>
      <rPr>
        <b/>
        <sz val="11"/>
        <color indexed="10"/>
        <rFont val="Arial Narrow"/>
        <family val="2"/>
      </rPr>
      <t>(pg. 126)</t>
    </r>
    <r>
      <rPr>
        <sz val="11"/>
        <color indexed="8"/>
        <rFont val="Arial Narrow"/>
        <family val="2"/>
      </rPr>
      <t xml:space="preserve"> By 2020 at least 5 % of degraded ecosystems are restored /rehabilitated to increase their resilience By 2020 the country will have increased the tree cover to 10% NCCRS and Action plan by 2017</t>
    </r>
  </si>
  <si>
    <r>
      <rPr>
        <b/>
        <sz val="11"/>
        <color indexed="10"/>
        <rFont val="Arial Narrow"/>
        <family val="2"/>
      </rPr>
      <t xml:space="preserve">(pg. 128) </t>
    </r>
    <r>
      <rPr>
        <sz val="11"/>
        <color indexed="8"/>
        <rFont val="Arial Narrow"/>
        <family val="2"/>
      </rPr>
      <t xml:space="preserve">This target is partially
incorporated into the NBSAP
2003- 2010, and include the
following national target:
i) Existence of a program for
the rehabilitation and
restoration of degraded
ecosystems
</t>
    </r>
  </si>
  <si>
    <r>
      <rPr>
        <b/>
        <sz val="11"/>
        <color indexed="8"/>
        <rFont val="Arial Narrow"/>
        <family val="2"/>
      </rPr>
      <t>National Target 14:</t>
    </r>
    <r>
      <rPr>
        <sz val="11"/>
        <color theme="1"/>
        <rFont val="Arial Narrow"/>
        <family val="2"/>
      </rPr>
      <t xml:space="preserve"> By 2020, 30% of the country is covered by forests hence increasing carbon stocks and contributing to climate change mitigation and adaptation. </t>
    </r>
  </si>
  <si>
    <r>
      <rPr>
        <b/>
        <sz val="11"/>
        <color indexed="8"/>
        <rFont val="Arial Narrow"/>
        <family val="2"/>
      </rPr>
      <t>5NR- p. 45 -  Objectif 16 :</t>
    </r>
    <r>
      <rPr>
        <sz val="11"/>
        <color indexed="8"/>
        <rFont val="Arial Narrow"/>
        <family val="2"/>
      </rPr>
      <t xml:space="preserve"> D’ici à 2017, la contribution de la biodiversité nationale aux stocks de carbone est évaluée et des mesures pour son amélioration sont prises notamment par le renforcement de la résilience des écosystèmes et la restauration de ceux dégradés</t>
    </r>
  </si>
  <si>
    <r>
      <rPr>
        <b/>
        <sz val="11"/>
        <color indexed="8"/>
        <rFont val="Arial Narrow"/>
        <family val="2"/>
      </rPr>
      <t xml:space="preserve">5th NR- p.58- 
Cible 1 : </t>
    </r>
    <r>
      <rPr>
        <sz val="11"/>
        <color indexed="8"/>
        <rFont val="Arial Narrow"/>
        <family val="2"/>
      </rPr>
      <t xml:space="preserve">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t>
    </r>
    <r>
      <rPr>
        <b/>
        <sz val="11"/>
        <color indexed="8"/>
        <rFont val="Arial Narrow"/>
        <family val="2"/>
      </rPr>
      <t>Cible 2 :</t>
    </r>
    <r>
      <rPr>
        <sz val="11"/>
        <color indexed="8"/>
        <rFont val="Arial Narrow"/>
        <family val="2"/>
      </rPr>
      <t xml:space="preserve"> D’ici à 2020, les écosystèmes dégradés sont identifiés et au moins 15% sont restaurés, contribuant àl’atténuation des changements climatiques et l’adaptation à ceux-ci, ainsi qu’à la lutte contre la désertification. </t>
    </r>
  </si>
  <si>
    <r>
      <rPr>
        <b/>
        <sz val="11"/>
        <color indexed="8"/>
        <rFont val="Arial Narrow"/>
        <family val="2"/>
      </rPr>
      <t>5 NR- P.79  - Objectif 16.</t>
    </r>
    <r>
      <rPr>
        <sz val="11"/>
        <color indexed="8"/>
        <rFont val="Arial Narrow"/>
        <family val="2"/>
      </rPr>
      <t xml:space="preserve"> 
Mettre en place d’ici à 2018 un système de référence MRV (Mesure, Rapportage et Vérification) afin de renforcer la résilience des écosystèmes et de la biodiversité contre les changements climatiques.
</t>
    </r>
  </si>
  <si>
    <r>
      <rPr>
        <b/>
        <sz val="11"/>
        <color indexed="10"/>
        <rFont val="Arial Narrow"/>
        <family val="2"/>
      </rPr>
      <t>(pg. 62)</t>
    </r>
    <r>
      <rPr>
        <sz val="11"/>
        <color indexed="8"/>
        <rFont val="Arial Narrow"/>
        <family val="2"/>
      </rPr>
      <t xml:space="preserve">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</si>
  <si>
    <r>
      <rPr>
        <b/>
        <sz val="11"/>
        <color indexed="8"/>
        <rFont val="Arial Narrow"/>
        <family val="2"/>
      </rPr>
      <t>5 NR- P.74 - Relevant national 5-year target(s) from NBF 2008. (table)</t>
    </r>
    <r>
      <rPr>
        <sz val="11"/>
        <color indexed="8"/>
        <rFont val="Arial Narrow"/>
        <family val="2"/>
      </rPr>
      <t xml:space="preserve">
* National programme dealing with ecosystem adaptation to climate change has been
developed and is accepted by all stakeholders.
</t>
    </r>
  </si>
  <si>
    <r>
      <rPr>
        <b/>
        <sz val="11"/>
        <color indexed="8"/>
        <rFont val="Arial Narrow"/>
        <family val="2"/>
      </rPr>
      <t xml:space="preserve"> NBSAP- P. 112-</t>
    </r>
    <r>
      <rPr>
        <sz val="11"/>
        <color indexed="8"/>
        <rFont val="Arial Narrow"/>
        <family val="2"/>
      </rPr>
      <t xml:space="preserve">BY 2020, MANGROVE FOREST AND ASSOCIATED COASTAL FOREST DEGRADATION AND LOSS SHOULD HAVE BEEN SIGNIFICANTLY REDUCED 
</t>
    </r>
    <r>
      <rPr>
        <b/>
        <u/>
        <sz val="11"/>
        <color indexed="8"/>
        <rFont val="Arial Narrow"/>
        <family val="2"/>
      </rPr>
      <t xml:space="preserve">Performace indicators
</t>
    </r>
    <r>
      <rPr>
        <sz val="11"/>
        <color indexed="8"/>
        <rFont val="Arial Narrow"/>
        <family val="2"/>
      </rPr>
      <t xml:space="preserve">• E.2.1.1 Surface area (ha) of mangrove forests replanted and/or regenerated annually;
</t>
    </r>
    <r>
      <rPr>
        <b/>
        <sz val="11"/>
        <color indexed="8"/>
        <rFont val="Arial Narrow"/>
        <family val="2"/>
      </rPr>
      <t xml:space="preserve">• E.2.1.2 </t>
    </r>
    <r>
      <rPr>
        <sz val="11"/>
        <color indexed="8"/>
        <rFont val="Arial Narrow"/>
        <family val="2"/>
      </rPr>
      <t xml:space="preserve">Number of tree nurseries established and plant population in them;
</t>
    </r>
    <r>
      <rPr>
        <b/>
        <sz val="11"/>
        <color indexed="8"/>
        <rFont val="Arial Narrow"/>
        <family val="2"/>
      </rPr>
      <t xml:space="preserve">• E.2.1.3 </t>
    </r>
    <r>
      <rPr>
        <sz val="11"/>
        <color indexed="8"/>
        <rFont val="Arial Narrow"/>
        <family val="2"/>
      </rPr>
      <t xml:space="preserve">Number of workshops
</t>
    </r>
    <r>
      <rPr>
        <b/>
        <sz val="11"/>
        <color indexed="8"/>
        <rFont val="Arial Narrow"/>
        <family val="2"/>
      </rPr>
      <t xml:space="preserve">• E.2.1.4 </t>
    </r>
    <r>
      <rPr>
        <sz val="11"/>
        <color indexed="8"/>
        <rFont val="Arial Narrow"/>
        <family val="2"/>
      </rPr>
      <t>Surface area of mangrove forests under sustainable utilization 
•</t>
    </r>
    <r>
      <rPr>
        <b/>
        <sz val="11"/>
        <color indexed="8"/>
        <rFont val="Arial Narrow"/>
        <family val="2"/>
      </rPr>
      <t xml:space="preserve"> E.2.2.1</t>
    </r>
    <r>
      <rPr>
        <sz val="11"/>
        <color indexed="8"/>
        <rFont val="Arial Narrow"/>
        <family val="2"/>
      </rPr>
      <t xml:space="preserve"> Number of projects promoting the use of alternative energy in the marine and coastal areas.
</t>
    </r>
    <r>
      <rPr>
        <b/>
        <sz val="11"/>
        <color indexed="8"/>
        <rFont val="Arial Narrow"/>
        <family val="2"/>
      </rPr>
      <t xml:space="preserve">• E.2.2.2 </t>
    </r>
    <r>
      <rPr>
        <sz val="11"/>
        <color indexed="8"/>
        <rFont val="Arial Narrow"/>
        <family val="2"/>
      </rPr>
      <t xml:space="preserve">Number of improved ovens in use 
</t>
    </r>
    <r>
      <rPr>
        <b/>
        <sz val="11"/>
        <color indexed="8"/>
        <rFont val="Arial Narrow"/>
        <family val="2"/>
      </rPr>
      <t>• E.2.3.1</t>
    </r>
    <r>
      <rPr>
        <sz val="11"/>
        <color indexed="8"/>
        <rFont val="Arial Narrow"/>
        <family val="2"/>
      </rPr>
      <t xml:space="preserve"> Surface area of spawning grounds regenerated andprotected; </t>
    </r>
  </si>
  <si>
    <r>
      <rPr>
        <b/>
        <i/>
        <sz val="11"/>
        <color indexed="8"/>
        <rFont val="Arial Narrow"/>
        <family val="2"/>
      </rPr>
      <t>NBSAP - p.52 -</t>
    </r>
    <r>
      <rPr>
        <i/>
        <sz val="11"/>
        <color indexed="8"/>
        <rFont val="Arial Narrow"/>
        <family val="2"/>
      </rPr>
      <t xml:space="preserve"> Ecosystem resilience and the contribution of biodiversity to carbon stock have been enhanced, through conservation and restoration, including restoration of at least 15% of degraded ecosystems</t>
    </r>
  </si>
  <si>
    <r>
      <rPr>
        <b/>
        <sz val="11"/>
        <color indexed="8"/>
        <rFont val="Arial Narrow"/>
        <family val="2"/>
      </rPr>
      <t xml:space="preserve">5 NR- P.33 - 
</t>
    </r>
    <r>
      <rPr>
        <sz val="11"/>
        <color indexed="8"/>
        <rFont val="Arial Narrow"/>
        <family val="2"/>
      </rPr>
      <t xml:space="preserve">By 2020, ecosystem resilience and the contribution of biodiversity to carbon stocks has been enhanced, through conservation and restoration, including restoration of at least 50 per cent of degraded ecosystems, </t>
    </r>
  </si>
  <si>
    <r>
      <rPr>
        <b/>
        <sz val="11"/>
        <color indexed="8"/>
        <rFont val="Arial Narrow"/>
        <family val="2"/>
      </rPr>
      <t xml:space="preserve">5NR- p.43- </t>
    </r>
    <r>
      <rPr>
        <sz val="11"/>
        <color indexed="8"/>
        <rFont val="Arial Narrow"/>
        <family val="2"/>
      </rPr>
      <t>By 2020 area under forest cover is increased by 4% and managed sustainably, ensuring conservation of biodiversity</t>
    </r>
  </si>
  <si>
    <r>
      <rPr>
        <b/>
        <sz val="11"/>
        <color indexed="8"/>
        <rFont val="Arial Narrow"/>
        <family val="2"/>
      </rPr>
      <t xml:space="preserve">NBSAP- P.96-  </t>
    </r>
    <r>
      <rPr>
        <sz val="11"/>
        <color indexed="8"/>
        <rFont val="Arial Narrow"/>
        <family val="2"/>
      </rPr>
      <t xml:space="preserve">D’ici à 2020, la résilience des écosystèmes est améliorée grâce à des mesures d’’atténuation et d’adaptation des changements climatiques et des mesures de lutte contre la désertification. 
</t>
    </r>
    <r>
      <rPr>
        <b/>
        <sz val="11"/>
        <color indexed="8"/>
        <rFont val="Arial Narrow"/>
        <family val="2"/>
      </rPr>
      <t xml:space="preserve">Implementing agency: </t>
    </r>
    <r>
      <rPr>
        <sz val="11"/>
        <color indexed="8"/>
        <rFont val="Arial Narrow"/>
        <family val="2"/>
      </rPr>
      <t>Direction Nationale des Eaux et Forêts</t>
    </r>
  </si>
  <si>
    <r>
      <t xml:space="preserve">Assessment of </t>
    </r>
    <r>
      <rPr>
        <b/>
        <i/>
        <u/>
        <sz val="11"/>
        <color theme="1"/>
        <rFont val="Arial Narrow"/>
        <family val="2"/>
      </rPr>
      <t>area</t>
    </r>
    <r>
      <rPr>
        <sz val="11"/>
        <color theme="1"/>
        <rFont val="Arial Narrow"/>
        <family val="2"/>
      </rPr>
      <t xml:space="preserve"> of ecosystem degradation (1 forest, 2 wetlands, 3 other - "s" if spatially explicit information included </t>
    </r>
  </si>
  <si>
    <r>
      <t xml:space="preserve">Indicator of </t>
    </r>
    <r>
      <rPr>
        <b/>
        <i/>
        <u/>
        <sz val="11"/>
        <color theme="1"/>
        <rFont val="Arial Narrow"/>
        <family val="2"/>
      </rPr>
      <t>degree</t>
    </r>
    <r>
      <rPr>
        <sz val="11"/>
        <color theme="1"/>
        <rFont val="Arial Narrow"/>
        <family val="2"/>
      </rPr>
      <t xml:space="preserve"> of degradation (1 forest, 2 wetland, 3 other terrestrial, 4 marine)</t>
    </r>
  </si>
  <si>
    <r>
      <rPr>
        <b/>
        <sz val="11"/>
        <color theme="1"/>
        <rFont val="Arial Narrow"/>
        <family val="2"/>
      </rPr>
      <t xml:space="preserve">Link with AT 11 on Protected Areas - </t>
    </r>
    <r>
      <rPr>
        <sz val="11"/>
        <color theme="1"/>
        <rFont val="Arial Narrow"/>
        <family val="2"/>
      </rPr>
      <t>1 Area of loss in PA; 2 Area of degradation in PA; 3 Area restored in PA, 4 area of increase in PA</t>
    </r>
  </si>
  <si>
    <t>NYDF</t>
  </si>
  <si>
    <t>Bonn Challenge; NYDF</t>
  </si>
  <si>
    <t>Bonn Challenge: NYDF</t>
  </si>
  <si>
    <t>Bonn Challenge; AFR 100; NYDF</t>
  </si>
  <si>
    <t>Restoration initiatives</t>
  </si>
  <si>
    <t>AFR 100; Bonn Challenge; NYDF</t>
  </si>
  <si>
    <t>AFR 100; Bonn Challenge: NYDF</t>
  </si>
  <si>
    <t>Se continuara trabajando en la actualizacion de criterios e indicadores para estimar la cantidad, calida y perdida de los ecosistemas.
Se esta trabajando en la actualizacion de inventarios nacionales de plantaciones forestales y bosques nativos.
Se continuará implementando la normativa ambiental Argentina publicada en la estrategia nacional de biodiversidad.</t>
  </si>
  <si>
    <t>A largo plazo se incluyen las metas prioritarias establecidas en la Estrategia Nacional de Biodiversidad.</t>
  </si>
  <si>
    <t>- Intensificar la aplicación de las áreas de conservación de uso sostenible,
- ampliar las áreas protegidas y áreas para restauración ativa y pasiva para los biomas Cerrado y Pampa</t>
  </si>
  <si>
    <t>Se debe espacializar las áreas de RE en AP. (PdA 2018)
Está levantada esa info en bosque mediterráneo, zonas áridas y semiáridas y falta bosques templados lluviosos). Existen niveles de referencia y diagnóstico de degradación.
Se debe espacializar áreas de restauración en áreas incendiadas dentro de AP. Se está trabajando en Planes de RE de AP China Muerta, Torres del Paine, San Felipe (CONAF). Se deben buscar recursos aún.
En este año se sigue avanzando con restauración en Sitio Prioritario (concepción) con Fondos FNDR (MMA)
Se podría evaluar áreas prioritarias a restaurar a nivel nacional. Preparar una consultoría (MMA).
Está en Plan de ACC áreas prioritarias por desertificación, actualizado y en proceso de validación, se hizo diagnóstico (CONAF).</t>
  </si>
  <si>
    <t>Del total de áreas a restaurar, definidas 2016-2017, se restaurarán al menos el 15% de las áreas identificadas en la etapa 3, y que se encuentren con prioridad 1, fuera y dentro del Sistema Nacional de Áreas Protegidas del Estado (SNASPE).</t>
  </si>
  <si>
    <t>-META 5
- Datos cuantitativos sobre la superficie de ecosistemas naturales 
-Tasa de perdida de los ecosistemas naturales
- Datos cuantitativos sobre degradación de suelos
-Evaluacion de las causas de perdida, fragmentacion y degradacion de los ecosistemas 
-Algunos ecosistemas han sido identificados como prioritarios
-Meta cuantitativa de reduccion de de deforestación
-Año especifico  para lograr la meta: 2018
-Periodo o ano linea base para la tasa de perdida: desde 1990
- Sistema de monitoreo comun para RED y monitoreo de la perdida, fragmentacion y degradación (no para REDD+) (Sistema de monitoreo de bosques y carbono para Colombia)
META 15
-Datos cuantitativos sobre los estoques o la densidad de carbono (en bosques naturales)
-Medidas para la restauración del almacenamiento de carbono
- Meta cuantitativa para la restauracion (en superficie o porcentaje) --&gt; 210 000 ha a 2018
- Concepto de resistencia mencionado
- Evaluacion de la vulnerabilidad al cambio climatico y del potencial de los ecosistemas naturales para contribuir a la adaptacion al cambio climático --&gt; FONDO ADAPTACIÓN: Ecosistemas Estratégicos 
-Referencia a la desertificacion o a la CNULD --&gt; mapa de erosión</t>
  </si>
  <si>
    <t>Mapa de áreas susceptibles y el mapa de áreas prioritarias para la restauración
--&gt; anexo al plan nacional de restaurarión</t>
  </si>
  <si>
    <t>Se desarrollan medidas para sistematizar y socializar el conocimiento e investigación de la biodiversidad, su vinculación con salud, seguridad alimentaria, medios de vida y producción y su vínculo con riesgos y cambio climático.
Se establecen los arreglos de coordinaciòn interinstitucional e intersectorial, asì como el fortalecimiento de las capacidades institucionales que permiten la implementación de la Estrategia Nacional de Biodiversidad 2016-2026 para Costa Rica.
El abordaje de algunos de los temas tratads en esta encuesta para su debida atenciòn deberà ser abordado con màs tiempo, y considerarndo las personas involucradas y las insituciones. así mismo el Plan estratégico institucional que aborda las iniciativas estratégicas que abordará en el SINAC entre 2015 al 2025.
Mediante el Programa Nacional de Humedals y con el apoyo Proyecto Conservación, uso sostenible de la biodiversidad y mantenimiento de los servicios de los ecosistemas de humedales protegidos de importancia internacional. Financiamiento el Fondo Mundial para el Medio Ambiente (GEF) y la implementación del Programa de las Naciones Unidas para el Desarrollo (PNUD), se estaràn realizando una serie de acciones para fortalecer la gestiòn de los humedales principalemente con categoria de importancia internacional. Mayores detalles se pueden compartir adelante para reflejar acciones puntuales.
Como parte de los procesos a desarrollar se encuentran la realizaciòn del inventario nacional de humedales de Costa Rica (actualizaciòn), la implementaciòn de actividades de restauraciòn de humedales priorizados asì como el diseño de medidas de adaptaciòn y el desarrollo de mecanismos de financiamiento.
Se ha constituido en el SINAC un Departamento sobre Informaciòn y Regularización del Territorio, que requerira ser fortalecida sobre temas de teledetecciòn para estimar la perdida de humedales, asì como de otros ecosistemas.
Se requiere desarrollar Que permitan establecer cuales son las tasas de perdida de ecsistemas màs allá de bosques. El paìs cuenta con informaciòn sobre estimaciòn de cobertura forestal para varios perìodos, pero se deben establecer metodos y contar con informaciòn que facilte el desarrollo de esta informaciíón, como per ejemplo arrecifes de corral, paramos, etc.
El SINAC viene desarrollando un proceso para el diseño de monitoreo ecologico de la biodiversidad, pero se tienen limitaciones de orden de informaciòn, recursos financieros, tecnològicos y tècnicos. 
Estudio de fragmentaciòn de ecosistemas forestales en los corredores biològicos
Diseñar y establecer un programa de restauraciòn (una propuesta que se está valorando en la ENB)</t>
  </si>
  <si>
    <t>Se espera en el marco institucional iniciar el diseñar y ejecutar una sola estructura o plataforma tecnica integradora para el monitoreo del estado de la biodiversidad en el SINAC
Construir un mecanismo de revision y actualizacion de los indicadores nacionales del Promec en los ámbitos marino, terrestre y dulce acuicola
Diseño e implementar el Plan Maestro de Restauración de Tierras en Costa Rica (MINAE-MAG)
Es importante establecer claramente que es degradaciòn, criterios, puesto que es complejo para algunos ecosistemas. Lo cual requieren instrumentos apropiados para medir las causas, el impacto, escenarios, para determinar medidas de atenciòn, mitigación y adaptaciòn</t>
  </si>
  <si>
    <t>Cuba trabaja desde hace anos con la adquisicion y tratamiento de datos de teledeteccion para determiner la perdida de humedales, particularmente manglares, asi como de bosques en general, especialmente para el catastro forestal y los Programas de Ordenacion Forestal En el proximo ano se abordara con esta herramienta la restauracion de bosques en macizos montanosos incluyendo areas protegidas y sistemas productivos, con cultivos de café, fincas agroforestales y sitemas silvopastoriles.</t>
  </si>
  <si>
    <t xml:space="preserve">En Cuba se reconoce que desde 1959 hasta el 2012 el indice de boscosidad ha crecido de 13, 4% a 28, 3% del territorio nacional, asi como la no existencia de deforestacion, o sea, existe un balance neto 0 entre el uso comercial de areas de produccion y cobertura total del territorio, entonces nuestra propuesta de meta va encaminada al mejoramiento de los bosques  recuperados, reforestacion con especies nativas, restauracion en fragmentos de bosques que conectan areas protegidas, declaracion de corredores biologicos, declaracion de zonas por encima de 800 m snm como protectoras de biodiversidad, agua y suelos, brindar alternativas energeticas a las poblaciones ligadas a los bosques para eliminar el riesgo de tala furtiva, aumentar las areas de territorios degradados en areas bajo Manejo Sostenible de Tierras, lograr el 5% de areas mineras rehabilitadas, y otras que pemitan no hablar solo de areas restauradas sino de la calidad en aumento de resilencia de los paisajes y ecosistemas, </t>
  </si>
  <si>
    <t>No se cual sera la priorizaciòn del MAE en relaciòn al tema; desde el Ministerio de Agricultura se desarrollará el registro actualizado de las plantaciones forestales de todo el país actualizado.</t>
  </si>
  <si>
    <t>Diseñar, establecer e implementar un sistema de sosteniblidad financiera de los incentivos forestales para el pais.</t>
  </si>
  <si>
    <t>meta 5
- Estrategias de financiamiento e incentivos para ejecutar acciones concretas de pérdida de habitats (implementación)
- Definición de meta cuantitiva to Aichi y consideración de ecosistemas marinos
meta 15
- Estrategias de financiamiento e incentivos para ejecutar acciones concretas de restauración de ecosistemas y paisajes (implementación)
- Nexos con UNCCD</t>
  </si>
  <si>
    <t>- Implementar una estrategia de sostenibilidad de las acciones para cumplir las metas 5 y15.
- Desarrollo e implementación de un sistema de monitoreo del CDB y otros compromisos (REDD+, UNCCCD, CMNUCC).</t>
  </si>
  <si>
    <t>Identificación y caracterización de ecosistemas.
Estrategia de comunicación para incidencia de reducción de deforestación y de degradación de biodiversidad y sus servicios ecosistémicos.</t>
  </si>
  <si>
    <t>Actualizar y especificar la meta nacional relacionadas a la Meta 15 en el marco de la Estrategia Nacional de Restauración del Paisaje Forestal, y particularmente en su primer plan quinquenal  a partir del 2016.
Actividades:
Identificar el número de áreas prioritaria para restauración por ecosistema. Implementación de POA's
Monitoreo y evaluación
Definir prácticas de restauración que cumplan con las metas nacionales propuestas para cumplir la Meta 15 de Aichi.
Realizar una análisis de costo- beneficio de las prácticas de restauración con los fines anteriores.
Relanzamiento de la NBSAP ligado al tema de restauración.</t>
  </si>
  <si>
    <t>Elaborar un plan de trabajo de restauración con los diferentes puntos focales (Cambio Climático, Biodiversidad y Desertificación) y con los sectores.
Documentar la información pertinente (datos, mapas, actores) que están trabajando la restauración/Degradación)
Sistema en línea (Portal web) de actualización de datos de restauración según el enfoque de Honduras</t>
  </si>
  <si>
    <t>Elaborar e Implementar una Estrategia Nacional de Paisajes Productivos con el monitoreo de indicadores según criterios de mejorar la calidad de vida de la población rural de Honduras.</t>
  </si>
  <si>
    <t>Plan nacional de restauración de ecosistemas (el nombre puede variar)</t>
  </si>
  <si>
    <t>Establecimiento de un orden de prioridad para la tasa de pérdida de ciertos ecosistemas o la aplicación de metas diferentes a varios ecosistemas. Linea base para cumplir la estrategia mexicana de conservación vegetal, análisis de vulnerabilidad climática para ser considerado en el mapa. 
Realizar estimaciones de las áreas con estrategias de restauración particulares a las realidades socio-economicas del país. Por ejemplo, restauración en áreas naturales protegidas vs. restauración en agroecosistemas. 
Estimar el papel potencial de la restauración en la absorción de carbono</t>
  </si>
  <si>
    <t xml:space="preserve"> Ecosistema marino,
Evaluacion de las causas de perdidas
</t>
  </si>
  <si>
    <t xml:space="preserve">Evaluacion de los datos cuantitativo sobre la superficie degradadas. scock de carbono, </t>
  </si>
  <si>
    <t>Se realizarán Reuniones y entrevistas con los miembros Comité Nacional de Humedales, y también con el personal de la Dirección de Administración de sistemas de información ambiental, departamento de geomática del Ministerio de Ambiente de Panamá.
Revisión de la literatura publicada, y verificación de mapas ya existentes relacionados con ecosistemas de humedales.</t>
  </si>
  <si>
    <t>Reuniones y talleres con los actores ya mencionados, para establecer metas nacionaloes, cubriendo los humedales a nivel nacional. basado en metas que sean SMART. A lo interno del país se definirá un alcance realista, podría ser que no sea para el año 2020 sino para tiempo posterior (por ejemplo podría ser para el 2030) , pero el país reportaría avances para el año 2020.</t>
  </si>
  <si>
    <t xml:space="preserve">Seria  importante   equipar  con  herramientas   tecnológicas   mas  adecuadas para detectar   impactos   de perdidas  de  ecosistemas </t>
  </si>
  <si>
    <t>El  cumplimientos  de las metas  AICHI  luego los  y metas nacionale s</t>
  </si>
  <si>
    <t>1. Definición de un Marco Conceptual (restauración, recuperación, rehabilitación...)
2. Sistematización de información (proyectos e investigación) y vacios sobre Recuperación hasta 2015. 
3. Conformación de una Mesa Multisectorial e Interinstitucional RAD
4. Diseño de un Programa Nacional de Recuperación de Áreas Degradadas - PNRAD
5. Elaborar lineamientos para recuperación de ecosistemas forestales degradados y otros ecosistemas de vegetación silvestre
6: Mapeo de Ecosistemas Forestales Degradados
7. Mapeo de Suelos Degradados
8. Fortalecimiento de Capacidades</t>
  </si>
  <si>
    <t>1. Implementación y monitoreo del PNRAD
2. Desarrollo de herramientas operativas (guias, protocolos, manual)
3. Fortalecimiento de capacidades locales
4. Desarrollo de mecanismos / incentivos
5. Diseño de estrategias para articulación de acciones sectoriales con priodidades nacionales y compromisos internacionales (1 solo compromiso integral e informe único/multipropósito)
6. Zonificación Económica y Ecológica</t>
  </si>
  <si>
    <t>Actualizacion de la base cartografica para determinar extension,magnitud y ritmo de perdida de ecosistemas</t>
  </si>
  <si>
    <t>Se pretende restaurar para el año 2020 mas del 30% de las areas degradas de Republica Dominicana  de acuerdo a la evaluacion realizada a los ecosistemas a nivel nacional, todo bajo los criterios de la meta 15 Aichi</t>
  </si>
  <si>
    <t>Registro y mapeo de humedales 
Mapas de pastizales y cambio de superficie
Priorización de ecosistemas de acuerdo a mapas de biobiodiversidad y de especies prioritarias para la conservación
Se amplia el inventario de especies de bosque nativo y se aumenta el número de registros del sector forestal
Se profundizará el detalle de las causas de la degradación del monte nativo
Establecer las medidas asociadas a cada causas de la degradación
Se establecerán metas cuantitiativas para reducción de tasas de pérdida de ecosistemas vinculadas a la Meta 5 de Aichi
Definición de una estrategia nacional de restauración de ecosistemas degradados</t>
  </si>
  <si>
    <t>Estrategia nacional de restauración en implementación
Acciones de restauración implementadas en bosques degradados y en ecosistemas hídricos y cuencas proveedoras del agua potable
Nuevo marco de gestión sustentables de bosques elaborado</t>
  </si>
  <si>
    <t>Venezuela</t>
  </si>
  <si>
    <t>Actualización de datos cartograficos para estimar la magnitud y perdida de bosques naturales a escala nacional a fin de compararlos con la cartografia del año 2010.</t>
  </si>
  <si>
    <t xml:space="preserve">Se establece un objetivo nacional año 2020 de restaurar el 20% de las areas degradadas alcanzable y medible bajo la Meta 15, basado en una evaluacion nacional de las oportunidades de restauracion bajo los criterios de biodiversidad </t>
  </si>
  <si>
    <t>Yes</t>
  </si>
  <si>
    <t>1. Rate of loss
2. Indicator of degradation
3. Assessment of carbon stocks and density in natural ecosystems</t>
  </si>
  <si>
    <t xml:space="preserve">extend of wetlands, ecosystem map,map of forest loss, rate of wetland loss, map of wetland loss, rate of other ecosystem loss, map of forest degradation, indicators for ecosystem degradation. </t>
  </si>
  <si>
    <t>1. One ecosystem map that show forest, wetland, marine ecosystem,...</t>
  </si>
  <si>
    <t>Map of forest, Extent of other ecosystems, Maps of other ecosystems, Rate of loss of natural ecosystems (all indicators), Rate of degradation of natural ecosystems (all except forests)</t>
  </si>
  <si>
    <t>ecosystem map
spatially explicit information on ecosystem loss</t>
  </si>
  <si>
    <t>Spatial and time series data of different ecosystems, present status, their loss, degradation and drivers</t>
  </si>
  <si>
    <t xml:space="preserve">Map of forest and other ecosystem , baseline data , indicator on rate of degradation of ecosystem </t>
  </si>
  <si>
    <t>Extent of other ecosystem (eg: coral reefs) degradation and rate of loss</t>
  </si>
  <si>
    <t>- Baseline data on areas and extend of various types of ecosystem, forests and wetlands including state of loss, degradation and to be restored. 
- Review and set up START indicator for T5, T14 and T15</t>
  </si>
  <si>
    <t>lack of quantitative baseline data of different ecosystem</t>
  </si>
  <si>
    <t xml:space="preserve">Specific baseline data including 
- map of wetlands, and map of other ecosystems and map of other ecosystems.
- map and loss of specific forest loss and wetland loss, and their degradation 
- indicators of degradation in forests, wetlands, terrestrial and marine ecosystems   </t>
  </si>
  <si>
    <t>extent of other ecosystems</t>
  </si>
  <si>
    <t xml:space="preserve">1.) for extent of other ecosystems and maps of other ecosystem
for these matter we are going to do because of we not enough the budget to get data information for analysis.
2.) The Gol have designated the country first to wetland of national significance- the xechampone and bungkiat ngong
for these subject we don't have data information but we try to collaborate with multi-sect oral to get detail data information     
3.)  we don't have data information but we try to collaborate with multi-sect oral to get detail data information    </t>
  </si>
  <si>
    <t>- Map (wetland loss,wetland degradation, other ecosystem degradation)
- Data (rate of wetland loss, 
- Indicator of degradation in wetland, other terrestrial ecosystem, and marine ecosystem)
(Note; MAP of all forest ecosystem,  DATA of forest loss rate .are available but were not included in the 5 national report)</t>
  </si>
  <si>
    <t>Rate of wetlands loss and map of wetland loss
Rate of forest loss and map of forest loss</t>
  </si>
  <si>
    <t xml:space="preserve">Extent of the forest 2018
Map of the Forest 2017
Map of other ecosystem 2018 
Extent of forest degradation 2017
Map of forest degradation 2018
Extent of wetland degradation 2018
Map of Wetland degradation 2017
Extent of other ecosystem degradation 2018
Map of other ecosystem degradation 2018
indicator of degradation in forest 2017
Indicator of degradation in wetlands 
indicator of degradation in other terrestrial ecosystems </t>
  </si>
  <si>
    <t>Bolivia</t>
  </si>
  <si>
    <t>Next step data short term</t>
  </si>
  <si>
    <t>Next step data long term (only LAC)</t>
  </si>
  <si>
    <t>SMARTness of T5</t>
  </si>
  <si>
    <t>SMARTness of T15</t>
  </si>
  <si>
    <t>Mapping priority areas based on vulnerability to climate change</t>
  </si>
  <si>
    <t>Mapping priority areas based on degree of degradation</t>
  </si>
  <si>
    <t>By having this kind of map it will help the government agencies to plan and restore the degraded forest area. The degree of degradation can also supply information on the upcoming natural disaster cause by the degradation</t>
  </si>
  <si>
    <t>Developing economic models in agroforestry or silviculture that provide arguments in favour of restoration</t>
  </si>
  <si>
    <t xml:space="preserve">mapping based on ecological value of habitat or biotope </t>
  </si>
  <si>
    <t xml:space="preserve">determination of costs based on biotope or habitat ecological value , required for remediation of mining areas where restoration was not carried out. Can be used to estimate present and past damages on ecosystem. </t>
  </si>
  <si>
    <t>In Vietnam, the degraded forest areas can be restored by this activity.</t>
  </si>
  <si>
    <t>Mapping priority areas based on importance for ecosystem services</t>
  </si>
  <si>
    <t>There is a need to first map important ecosystem services for conservation.</t>
  </si>
  <si>
    <t>Areas of degradation would include areas such as mangroves that may be facing problems with sedimentation and experiencing tree fall or low recruitment, edge-effects affecting small fragments, invasive species such as Dioscorea and Cecropia</t>
  </si>
  <si>
    <t>Baseline information, Spatial information for planning- both will be core elements for restoration planning, as well as for motioning and evaluation of the restoration efforts.</t>
  </si>
  <si>
    <t>It is a strong economic argument that will prevent the current discounting of the (immediate and imminent) future, and achieve the mainstreaming of a biodiversity/ecosystem resilience supporting approach in India. The expected result is that it will drive home a strong message that resource use needs better stewardship that whan exists at present, for there to be a healthy resource base at all, for 1.2bn people.</t>
  </si>
  <si>
    <t xml:space="preserve">Maldives is a country highly vulnerable to climate change and associated adverse impacts such as sea level rise. Mapping and prioritization of areas based on ecosystem services would allow for climate change mitigation and adaptation. For example conservation and restoration coral reefs and mangrove ecosystem will diminish the effects of sea level rise and the impacts of extreme events associated with climate change.   </t>
  </si>
  <si>
    <t>Timor Leste has a significant degraded areas which requires mapping for the planning of restoration.</t>
  </si>
  <si>
    <t>mapping of tenurial instruments conflict with the ecosystem restoration initiative</t>
  </si>
  <si>
    <t xml:space="preserve">1 Baseline information will be available 
2 Legal framework preparation  and the targets will be achieved 
 </t>
  </si>
  <si>
    <t>map of priority area is under consideration</t>
  </si>
  <si>
    <t>supose that making priority map need to have a long time to disscuss with many stakeholders and scientific assessment.</t>
  </si>
  <si>
    <t>Restoration actions</t>
  </si>
  <si>
    <t>Mapping priority areas based on degree of degradation; Developing economic models in agroforestry or silviculture that provide arguments in favour of restoration</t>
  </si>
  <si>
    <t>NBSAP Will be well prepared. Planning of restoration of forest and ecosystem will be easier; Restoration contributes to climate change mitigation and adaptations</t>
  </si>
  <si>
    <t>Developing economic models in agroforestry or silviculture that provide arguments in favour of restoration; Mapping priority areas based on importance for ecosystem services</t>
  </si>
  <si>
    <t>This will integrate key components: people centered and socially acceptable, ecosystem integrity and economically viable; There are many ecosystems in the region and importance for ecosystem services is critical debate and rational for calling support from decision makers and funding agencies. Restoration of important ecosystems is costly and sometime may be not returned to the original state.</t>
  </si>
  <si>
    <t>Next steps 'engagement' score</t>
  </si>
  <si>
    <t>There are many ecosystems in the region and importance for ecosystem services is critical debate and rational for calling support from decision makers and funding agencies. Restoration of important ecosystems is costly and sometime may be not returned to the original state. - Establish a system of national park
Build biodiversity monitoring networks</t>
  </si>
  <si>
    <t xml:space="preserve">with one national map of degraded forest lands, other stake holders in the country can take priority to restore.  Private sectors that manage forest areas and other lands can support the priority, as well as all local government can do their actions of restorations.  For national importance related to the commitment to achievement of the target 5 and 15 of Aichi Targets, all efforts of the government and other stake holders, including communities, will ensure what locations of the forests, where primary forest must be protected and monitored, and degraded forest and lands will restored, and the implementation of restorations  will be monitored to make sure the success.  
By having the map, government and all stake holders can so socialization to communities to gain their support in the efforts of restorations, apart from we can do as each ability and this will be carried out through time of the year up to 2020. - It will be used by all institutions and local governments to support the actions of the restoration of degraded forests and lands;
Progresses of restoration actions which are done by all institutions and local governments throughout the country will be monitored and recorded;
Increase in efforts of restoring degraded forests amd lands - </t>
  </si>
  <si>
    <t>- Synergizing Global forest-related processes and initiatives Global forest-related processes and initiatives, especially for T5, T15
- Compatible of cross sectoral plans related to forest land use
- Public, community and private Investment Confidence
- Enabling conditions for forest and other ecosystem restoration
- A comprehensive estimates of the area of degraded forest, in large part because there is no existing definition</t>
  </si>
  <si>
    <t>El Ecuador logra el desarrollo sostenible luego de implementar politicas de Ordenamiento territorial e integraciòn de acciones que se estructuran y articulan adecuadamente en los distintos organismos tanto nacionales como locales.</t>
  </si>
  <si>
    <t>Recuperación de zonas degradadas, mediante la aplicación de políticas de gestión ambiental de los bosques centrado en la recuperación y el aprovechamiento sustentable de los recursos forestales en los bosques productores y de los bosques protectores, garantizando sus funciones ecológicas y la particpacion de comunidades locales</t>
  </si>
  <si>
    <t>Establecimiento de un mecanismo financiero sólido para la restauración de ecosistemas naturales de Honduras
Haber detenido en un 100% la deforestación de los ecosistemas naturales de Honduras.  
Recuperado en un 20% los ecosistemas naturales mediante el modelo de Paisajes Productivos.</t>
  </si>
  <si>
    <t>Para 2050, Panamá habrá aumentado la conciencia y el valor de la biodiversidad,...Se habrán reformado incentivos perjudiciales a la biodiversidad.</t>
  </si>
  <si>
    <t>Conservación de la biodiversidad y sus servicios ecosistémicos
Uso sostenible de recursos naturales
Gestión sostenible del suelo
Paz y desarrollo sostenible
Calidad de vida dela poblacion</t>
  </si>
  <si>
    <t>Al menos disminuir hasta el 15 porciento de la cobertura forestal</t>
  </si>
  <si>
    <t>Tasa cero de pérdida de bosque nativo
Se incrementa la superficie de ecosistemas restaurados y se generaliza el uso sustentable de los recursos naturales
Degradación neutral de la tierra</t>
  </si>
  <si>
    <t>"Los ecosistemas son restaurados y mantenidos de manera sostenible, en armonía con las actividades productivas de la población"</t>
  </si>
  <si>
    <t>La vision personal de un escenario ideal al 2050 esta centrada en un pais que ha cumplido con el plan de accion del Programa para la Diversidad Biologica y lo ha actualizado hasta el 2050 y tiene incorporado en su Ordenamiento Ambiental Territorial (OAT) el programa de Restauracion de ecosistemas. Tambien el  OAT se comporta al 2050 como una herramienta efectiva de la Conservacion y uso sostenible de la DB. El pais tiene una gestion sostenible del sus territories.</t>
  </si>
  <si>
    <t>Para el 2050, Costa Rica será más resiliente para enfrentar las causas y efectos del cambio climátic sobre la biodiversidad, las comunidades locales y la sociedad en genera.</t>
  </si>
  <si>
    <t>La visión  del cumplimiento   de las metas  achis  o por lo menos  la interpretación total de  dichas metas.  Que  se cre  un  binculo  institucional  nacional  bien activo  de  un  desarrollo  sustentable  de los recurso  Naturales
Ademas  crear las capacidades  de un  proceso sólido de eduación  ambiental</t>
  </si>
  <si>
    <t xml:space="preserve">Los ecosistemas del Uruguay (pastizales del Río de la Plata) conservan y aumentan su integridad ecológica de modo de evitar la pérdida (y recuperar) su biodiversidad y sus funciones ecosistémicas. 
Esto se logrará a través de instrumentos de conservación y restauración y un mejor manejo productivo que incluya la integridad ecosistema entre los servicios que brinda. 
 </t>
  </si>
  <si>
    <t>Para 2050 se habra incrementado la resiliencia de los ecosistemas y la contribucion de la diversidad biologica</t>
  </si>
  <si>
    <t>Desarrollo y aprovechamiento de los recursos naturales sostenible mente  (económico,  social y ambiental)</t>
  </si>
  <si>
    <t>a) Recuperar e 70% de los ecosistemas degradados
b) Conservación y protección de especies endémicas y nativas 
c) Uso sostenible de los medios de vida de las comunidades Indígenas</t>
  </si>
  <si>
    <t>Que la ciencia ya ha logrado desarrollar procesos eficaces para mitigar el cambio climático.
La deforestación causada por los proyectos de monocultivos, la minería y las grandes represas ya no están funcionando;
Que los territorios de las comunidades indígenas y tradicionales están consideradas como áreas conservadas por los mismos y reconocidas por los gobiernos en sus datos.
Que ya son erradicadas el uso de especies exóticas en los sistemas de reforestación;
Los conocimientos tradicionales de las comunidades locales y los pueblos indígenas son reconocidos e incorporados en los planes nacionales de restauración de ecossistemas</t>
  </si>
  <si>
    <t>Perú logra sus compromisos nacionales e internacionales mediante políticas y actividades que contribuyen en la recuperación de tierras degradadas considerando un enfoque ecosistémico, de ordenamiento territorial,  multisectorial e inclusivo, así como reducción al mínimo de la degradación de los ecosistemas.</t>
  </si>
  <si>
    <t>1. Oferta de servicios ambientales  (actuales y futuros )
2. Cambios en la relación entre los humanos y su entorno natural.
3. Integración con actividades productivas</t>
  </si>
  <si>
    <t>1. Persistencia dos ecosistemas naturais y las especies que los componen
2. Oferta de servicios ambientales
3. Cambios en la relación entre los humanos y su entorno natural</t>
  </si>
  <si>
    <t>1. Reconversión a sistemas sostenible de producción
2. Restauración ecológica participativa
3. Articulación interinstitucional y trabajo interdisciplinario</t>
  </si>
  <si>
    <t xml:space="preserve">1. Diseñar y establecer medidas de mititagciòn y adaptaciòn que permitan aumentar la resiliencia de los ecosistemas ante el cambio climático
Diseñar  e implementar un programa de restauraciòn de ecosistemas, que contemple acciones de conservaciòn, manejo sostenible, actividades productivas y practicas sostenibles.
Establecer los mecanismos de coordinaciòn interinstitucional e intersectorial, asì como el fortalecimiento de las capacidades institucionales que permiten la implementación de la Estrategia Nacional de Biodiversidad
2. Diseñar e implementar el programa de restauración brindándole los recursos financieros, técnicos y logìsticos necesarios
Sistematizar las experiencias nacionales e internacionales de las medidas restauración y meldidas de adaptaciòn y mtigaciòn
Desarrollar una linea de referencia
Desarrollar guìas tècnicas de restauraciòn para diferentes tipos de ecosistemas
Desarrollar el fortalecimiento de capacidades institucionales, actores locales y otras instancias vinculadas
Establecer los protocolos de operaciòn de los procesos de restauración
3. </t>
  </si>
  <si>
    <t>1. Se cuenta con una efectividad maxima del Sistema Nacional de Areas Protegidas (SNAP). las areas protegidas estan conectadas a traves de los sistemas productivos a traves de corredores biologicos. 
2. Incorporado e implementado un programa de restauracion de ecosistemas en los planes de OAT.
3. Incluido los temas de conservacion y uso sostenible de la DB y la restauracion ecologica con enfoque de paisaje en el Sistema Nacional de Educacion.</t>
  </si>
  <si>
    <t>1. Definicion de usos de suelo según ecosistemas y virtudes del suelo.
2. Integraciòn y estructuraciòn de politicas productivas coherentes con los territorios respetando el ordenamiento de territorial.
3. Metricas establecidas tecnica y coherentemente.</t>
  </si>
  <si>
    <t>1. Implementación a una escala de paisaje, de un proceso de restauración (regeneración)del suelo que se usa para la actividades agropecuarias (maíz, frijol,caña y ganadería bovina principalmente).
2. Fortalecer las acciones de manejo de los ecosistemas críticos prioritarios (Manglares, arrecifes, bosques naturales, plantaciones de café)  y promover acciones específicas de restauración con un enfoque inclusivo.
3. Desarrollar a nivel nacional un amplio proceso de comunicación acerca de la importancia de la restauración y de la necesidad de participación y acuerdos entre todos los sectores de la población.</t>
  </si>
  <si>
    <t xml:space="preserve">1. Fortalecer las capacidades de las comunidades indígenas para el uso sostenible de medios de vida y adaptación, que facilite la restauración de los ecosistemas y sus servicios
2. Implementar proyectos de agroforestería, sistemas silvopastoriles y bosques energéticos que disminuyan la presión sobre los ecosistemas.
3. Elaboración de un análisis de relación costo-beneficio, para visibilizar la importancia económica de los diferentes ecosistemas y sus servicios. y socializado ante los sectores: privado, político, sociedad civil, ambiental, indígena, campesino y medios de comunicación. </t>
  </si>
  <si>
    <t xml:space="preserve">1. Reducción cero de la pérdida de bosques naturales.
Contribuir significativamente a la mitigación y adaptación al cambio Climático mediante la restauración 
Aumentó significativamente al incremento de la diversidad biológica.
2. Promover acciones puntuales de emprendurismo vinculado a los ecosistemas naturales.
3. Establecimiento de una estrategia y plan de acción de Mitigación y Adaptación Nacional  </t>
  </si>
  <si>
    <t xml:space="preserve">1. Revisar y corregir los mecanismos, leyes, reglamentos, procedimientos e instituciones que están fallando al permitir la conversión de los bosques nativos y vegetación natural a otros usos de suelo
2. Establecer una agenda y estrategia transversal, incluyente y eficiente de restauración de ecosistemas y del paisaje forestal. Movilizar instituciones y recursos para establecer, con base en un mapa de prioridad y de factibilidad, un plan nacional de restauración factible y operativo. Avance de la vinculación entre  todos los actores sociales clave para la creación de mercados e incentivos económicos, así como beneficios a corto y largo plazo. Hacer la restauracion ecologica obligatoria para algunos sectores como el empresarial con base en legislaciones y reglamentos  efectivos. 
3. Con la ayuda de estudios de linea base, generar manuales de buenas prácticas y una política alineada para el uso sustentable de la biodiversidad para evitar la degradación extrema. Cuando la degradación se de, se debe compensar  con estrategias de recuperación como enriquecimiento de baja y alta densidad. </t>
  </si>
  <si>
    <t xml:space="preserve">1. Promover la ejecución   de   planes de protección de recursos hídricos en cuencas y acuíferos considerando las relaciones existentes con los usos del suelo, la canti- dad y calidad del agua.
2. Incremento de la resilencia  de los ecosistema en la constribucion de la biodiversidad biologica, reserva de carbono 
3. Restauracion de la tierra mediante la plantacion  y la regeneracion natural </t>
  </si>
  <si>
    <t>1. Integración con actividades productivas;
2. Oferta de servicios ambientales (actuales y futuros);
3. Persistencia de los ecosistemas naturales y las especies que los componenen.</t>
  </si>
  <si>
    <t xml:space="preserve">1. Contribuir con  las aplicación de las  metas  aichi
Gestionar   aplicaciones  de  las metas nacionales 
Desarrollar   la  estrategia  nacional y plan de accion de la  biodiversidad 
2. Promocionar   acciones  entre  los entes  gubernamentales 
Desarrollar  acción conjuntas  
3. </t>
  </si>
  <si>
    <t>1. Implementación (incluye monitoreo) de actividades de recuperación y restauración de ecosistemas forestales y otros ecosistemas de vegetación silvestre con enfoque de territorio y participativo
2. Mecanismos de fiscalización y control multisectorial de actividades ilegales que afectan los ecosistemas forestales
3. Mecanismos e incentivos financieros para actividades/proyectos de desarrollo integral  a escala de paisaje (cuenca)</t>
  </si>
  <si>
    <t>1. Reducir en un 50% en relacion a la linea de base existente 
2. Fortalecr la conectividad entre ecosistemas protegidos por medio de inicativas existentes (Reserva de Biosfera Jaragua-Bahoruco-Enriqueillo, Corrdor Biologico del Caribe, Corredor Guaconejo, Quita Espuela y otros)
3. Avanzar el proceso de restauracion de tierras en al menos el 20% de las tierras degradadas</t>
  </si>
  <si>
    <t xml:space="preserve">1. Instrumentos de conservación y restauración con base ecosistémica a escala de paisaje permiten conservar y restaurar aquellas áreas que aseguren los valores de biodiverasidad y las funciones ecosistémicas (ej. bosques ribereños, cabeceras de cuenca, corredores de biodiversidad, humedales).
2. La ganadería en campo natural se realiza de modo de maximizar la conservación del pastizal natural y sus ecosistemas asociados a través de índices de integridad ecosistémica a nivel predial, agregando además valor a la producción e incrementando la resiliencia de los sistemas productivos.  
3. Se promueve la agroecología enfocada en proveer múltiples servicios ambientales y la conservación de la bd. los aportes de agroquímicos son regulados en función de las cargas por cuenca. </t>
  </si>
  <si>
    <t>1. Fortalecer el programa de reforestación y monitoreo a escala nacional, a través de la Misión Árbol; con participacion de las comunidades locales
2. Formulacion y elaboracion de Planes de Ordenamiento y Reglamentos de Uso de las Areas Bajo Regimen de Administracion Especial (ABRAE), especificamente en las ABRAE forestales con la finalidad de ordenar y reglamentar el uso, aprovechamiento y conservacion del patrimonio forestal 
3. Revisión y actualización de la normativa jurídica forestal en el marco del Plan de la Patria 2013-2019 (Ley Bosques y Gestión Forestal, Normas Técnicas sobre Diámetros Mínimos de Cortabilidad y Selección y Registro de Árboles Semilleros, entre otras);a los fines de fortalecer la legislacion ambiental en el pais.</t>
  </si>
  <si>
    <t>Restoratiion actions outcomes (Vision for LAC)</t>
  </si>
  <si>
    <t>Instrumentos de planificación territorial vinculantes que respeten las zonas de restauración.
Habremos restaurado al menos el 50% de las cuencas abastecedoras de agua.
De acuerdo al ejercicio realizado.
Tener una institucionalidad ambiental operativa.
Haber cumplido con las metas propuestas en un 100% propuestas
  - 100.000 ha de bosques nativos manejados sustentablemente.
  - 100.000 ha de nuevas plantaciones de plantaciones nativas.
  - reducción del 20% de las emisiones de gases de efecto invernadero.
  - Captura de 6 TM3 de CO2.
Puntos adicionados
Restaurar el 15% de los ecosistemas identificados como prioritarios.</t>
  </si>
  <si>
    <t>Comments</t>
  </si>
  <si>
    <t>Área cuantitativa para la restauración con desglose por ecosistema</t>
  </si>
  <si>
    <t>Quantitative target area for restoration with breakdown by ecosystem</t>
  </si>
  <si>
    <t xml:space="preserve">
1. Restauración de Ecosistemas Forestales de Zonas Semiáridas  (Bosque esclerófilo y formaciones xerofìticas) en las regiones Subhúmedas (Bosques Templados sustituidos, praderas) y Subhúmedas secas (Bosque Esclerófilo, Tipo Forestal Ro-Ra-Co sustituidos o quemados), incorporando exclusiones, obras de conservación de suelo y agua, reforestación, revegetación o plantación cuando corresponda.
2. Creación adicional de un fondo de incentivos que permitan el pago por los servicios ambientales que este tipo de proyecto genera y que permita cubrir los costos de oportunidad en que los propietarios incurran, asimismo, se propone la creación de exenciones tributarias verdes, a eventuales donantes internos (sector privado), que permitan crear y   sustentar  un sistema de pago de incentivos por servicios ambientales 
3. Formulación y promulgación de una nueva ley de fomento forestal en Chile, que integre a la actual Ley de Bosque Nativo e incorpore las actividades de restauración como un elemento relevante, incorporando dentro de su sistema de incentivos, actividades concretas.
De la misma forma se debe establecer valores diferenciales para tipos de propietarios y sistemas de entrada a objeto de no impedir la entrada de ningún tipo de interesado </t>
  </si>
  <si>
    <t>Bonn Challenge; AFR 100</t>
  </si>
  <si>
    <t>1s,2,3</t>
  </si>
  <si>
    <t>1, 3s</t>
  </si>
  <si>
    <t>1,3s</t>
  </si>
  <si>
    <t>1.,2,3</t>
  </si>
  <si>
    <t>1, 5</t>
  </si>
  <si>
    <t xml:space="preserve">1,2 </t>
  </si>
  <si>
    <t>1,4</t>
  </si>
  <si>
    <t>1,5</t>
  </si>
  <si>
    <t>1,2.3s</t>
  </si>
  <si>
    <t>1,23</t>
  </si>
  <si>
    <t>*</t>
  </si>
  <si>
    <t>1</t>
  </si>
  <si>
    <t>Información espacialmente explícita sobre los factores de pérdida y degradación</t>
  </si>
  <si>
    <t>Evaluación cuantitativa de las reservas o la densidad de carbono en otros ecosistemas</t>
  </si>
  <si>
    <t>Mapa de la densidad de carbono de la biomassa</t>
  </si>
  <si>
    <t>i. Reach a rate of 0% deforestation by the year 2030.</t>
  </si>
  <si>
    <t>BonnChallenge</t>
  </si>
  <si>
    <t>1,2s,3,</t>
  </si>
  <si>
    <t>2.76 tCO2e</t>
  </si>
  <si>
    <t>3, 4</t>
  </si>
  <si>
    <t>1s, 2s</t>
  </si>
  <si>
    <t>1s*, 2</t>
  </si>
  <si>
    <t>1s,2</t>
  </si>
  <si>
    <t/>
  </si>
  <si>
    <t>NBSAP - P.82: Target 5 By 2020, the rate of biodiversity loss, forest fragmentation and land degradation is reduced by 20%
Milestones:
• By 2020, productivity of forage and rangelands is improved
• By 2020, Productive agricultural zones around protected areas enhanced through Sustainable Land Management (SLM)
• By 2020 Promote the use of energy saving cooking stoves
• By 2020 Restoration of degraded wetlands and landscape
• By 2020, Sustainable use of non-timber forest products is promoted
• By 2020, sustainable management, including the use of traditional resources management system to ecosystems under pressure, including hotspot ecologically sensitive areas is applied</t>
  </si>
  <si>
    <t xml:space="preserve">5th NR- p.91-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</si>
  <si>
    <t xml:space="preserve">NR-p.47: At least 60% reduction in the rate of deforestation in thesoutheast and northwestern biomes especially those attributable to subsistence agriculture, forestry and mining activities by 2018; </t>
  </si>
  <si>
    <t>NBSAP-P.75: 
Objectif 5= D’ici à 2020, le rythme d’appauvrissement et la dégradation des habitats naturels, y compris les forêts sont réduits de moitié.</t>
  </si>
  <si>
    <t>NI</t>
  </si>
  <si>
    <t xml:space="preserve">Target 3. By 2020, adoption of a national ecosystem-based spatial planning process and plans, promoting the values of biodiversity and ecosystem services to sustain development 
Target 6. By 2020, at least 10% of Nigeria’s national territory is sustainably managed in conservation areas at varied levels of authority, with representation of all ecosystem types. </t>
  </si>
  <si>
    <t>Cible 4 D’ici à 2025, la résilience des écosystèmes dégradés est améliorée.</t>
  </si>
  <si>
    <t>NBSAP-p.68: 
Objectif 4 Renforcer les cadres juridique, institutionnel et la gouvernance d’ici 2018 afin de créer un environnement favorable à la lutte effective contre l’érosion de la biodiversité
Objectif 5 Réduire à l’horizon 2020, le rythme de dégradation et de fragmentation des habitats naturels à 2%
Objectif 7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</si>
  <si>
    <t>NR- P.55: ABCS Target 4: By 2015, achieve  a national increase of 600,000km2 of native habitat managed primarily for biodiversity conservation across terrestrial, aquatic and  marine environments.</t>
  </si>
  <si>
    <t xml:space="preserve">NR-P.65: Significantly reduce the rate of loss of natural habitats, as well as their degradation and fragmentation, by 2020 
</t>
  </si>
  <si>
    <t xml:space="preserve">NBSAP-P.25 :
goal7: Increase forest cover  to 9% by 2025 through the improvement of forest management,  and thereby protect forest biodiversity.
Goal 8: Introduce management techniques for the sustainable use and conservation of natural resources, especially game animal resources, by mean of utilizing the creation of partnerships between government, local citizens, and private sector.
Goal 9: Taking into account grazing capacity and livestock population size, utilize legislative and economic leverages to reduce pasture degradation by up to 70% and increase quality of existing pastures.
</t>
  </si>
  <si>
    <t xml:space="preserve">NBSAP-P.89: National Target 5: By 2018, high-biodiversity value habitats are mapped, the rate of losses is accounted, trends monitored and overall loss and fragmentation reduced; </t>
  </si>
  <si>
    <t xml:space="preserve">Meta Nacional 5: Para el 2016 se habrá reducido en un 25% el ritmo de pérdida de los hábitats naturales y la degradación y fragmentación han sido reducidas. </t>
  </si>
  <si>
    <t>Meta 7 Para el 2021, se ha reducido en 5% la tasa de degradación de los ecosistemas, con énfasis en ecosistemas forestales y frágiles.</t>
  </si>
  <si>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</si>
  <si>
    <t>Target 11 Control pressures on biodiversity</t>
  </si>
  <si>
    <t>NR-P.5: By 2020, the rate of loss of natural and semi-natural habitats of conservation value is at least halved, and degradation and fragmentation is significantly reduced. The percentage cover of “forests and semi-natural areas” has not decreased below the CORINE land cover data of 2006.</t>
  </si>
  <si>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</si>
  <si>
    <t>Target 5: By 2020 an effective monitoring protocol for critical habitats, mainly forests, mangroves and coral reefs has been implemented to assist in reducing degradation and fragmentation and measures developed and undertaken to reduce the rate of loss by 10%</t>
  </si>
  <si>
    <t xml:space="preserve">Target: By 2020, the status of biodiversity has improved by safeguarding ecosystems, species and genetic diversity in the 30 declared protected areas </t>
  </si>
  <si>
    <t xml:space="preserve">2.1. Save and restore the most vulnerable ecosystems and genetic resources, significantly reduce the rate of species loss, degradation and fragmentation of their habitats </t>
  </si>
  <si>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</si>
  <si>
    <t xml:space="preserve">(pg. 119) Increase the forest cover to 10 % by 2020
by 2020 20% of degraded and fragmented habitats
are restored/rehabilitated By 2020 the rate of
loss of natural forest is brought close to zero
Increase % of protected Area </t>
  </si>
  <si>
    <t>Target 6: By 2025 at least 50% of the degraded terrestrial habitats are restored and protected</t>
  </si>
  <si>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</si>
  <si>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</si>
  <si>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</si>
  <si>
    <t xml:space="preserve">(P. 60) The target is rate of loss and degradation of
natural habitats decreased. 
</t>
  </si>
  <si>
    <t xml:space="preserve">3.5 National target: By 2020, the rate of loss of all natural habitats, including  forests, is at least halved and where feasible brought close to zero, and degradation and fragmentation is significantly reduced </t>
  </si>
  <si>
    <t>ARGET 5: By 2020, the rate of degradation and fragmentation of ecosystems and the loss of habitats is significantly reduced.</t>
  </si>
  <si>
    <t>Target 5 By 2020, the deforestation rate in Zambia is reduced by at least 25%.</t>
  </si>
  <si>
    <t>(P.41) Target 5: By 2020, reduce the rate of loss of natural habitats including forests by at least 50%.</t>
  </si>
  <si>
    <t xml:space="preserve">TARGET 10: SPECIES AND HABITATS ARE CONSERVED </t>
  </si>
  <si>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</si>
  <si>
    <t>Obj. 3 Maintain or restore biodiversity and ecosystem services in Belgium to a favourable conservation status (all operational objectives)</t>
  </si>
  <si>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</si>
  <si>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</si>
  <si>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</si>
  <si>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</si>
  <si>
    <t xml:space="preserve">Measure 2.2. Ensuring the favourable conservation status of habitats
Measure 2.3. Ensuring landscape diversity. 
Measure 2.4. Conservation management of natural objects. 
</t>
  </si>
  <si>
    <t xml:space="preserve">Target 5. The loss of all natural habitats has been halted, and the degradation and fragmentation of natural habitats have been significantly reduced.
</t>
  </si>
  <si>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</si>
  <si>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</si>
  <si>
    <t>Objective 1: Conservation and management of natural habitats
Objective 3: Manage land clearance to minimise adverse impacts on biodiversity
Objective 5: Protection and conservation of caves and their fauna</t>
  </si>
  <si>
    <t>Target 2.1 By 2022, the rate of loss and degradation of natural habitats outside protected areas serving as ecological corridors or containing key biodiversity areas or providing important ecosystem services is minimized through integrated land use planning</t>
  </si>
  <si>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</si>
  <si>
    <t>Afghanistan preliminary target 5: rate of loss and degradation of natural habitats decreased</t>
  </si>
  <si>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</si>
  <si>
    <t>C2 Implementing measures to minimize degradation of water resources and aquatic biodiversity as well as identifying protection measures for them through the development and approval of 2 management plans for aquatic basins districts;</t>
  </si>
  <si>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</si>
  <si>
    <t>Strategic Goal 2 By 2020, an ecological infrastructure consisting of protected and connected areas is developed. The state of threatened habitats is improved.</t>
  </si>
  <si>
    <t>Target 10 By 2021, the rate of loss of natural habitats, including forests, is decreased by 25%.</t>
  </si>
  <si>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</si>
  <si>
    <t>NBSAP- P.60: By 2020, ecosystem resilience and the contribution of biodiversity to carbon stocks has been enhanced, through conservation and restoration, including restoration of at least 50 per cent of degraded ecosystems.</t>
  </si>
  <si>
    <t xml:space="preserve">NBSAP- P.96: 
D’ici à 2020, la faune et la flore menacées d’extinction, sont connues et des mesures sont prises pour leur préservation et leur restauration dans des zones identifiées. 
- D’ici à 2020, la résilience des écosystèmes est améliorée grâce à des mesures d’’atténuation et d’adaptation des changements climatiques et des mesures de lutte contre la désertification. 
</t>
  </si>
  <si>
    <t xml:space="preserve">NBSAP-P.65: 
Objectif 16 Mettre en place d’ici à 2018 un système de référence MRV (Mesure, Rapportage et Vérification) afin de renforcer la résilience des écosystèmes et de la biodiversité contre les changements climatiques.
</t>
  </si>
  <si>
    <t xml:space="preserve">(NR-P. 31) 
-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 </t>
  </si>
  <si>
    <t xml:space="preserve">NR-P.84: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</si>
  <si>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</si>
  <si>
    <t>Meta 4 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Meta 11. Para el 2020, mediante regeneración natural y reforestación se garantizará la recuperación de dos de los ecosistemas más amenazados: El Bosque seco del pacífico y el bosque de mangle.
Meta 14.Para el 2020, se habrá promovido la gestión integrada de cuencas hidrográficas en cuencas de importancia nacional, con el fin de garantizar el abastecimiento de agua a las poblaciones, el uso productivo y la recuperación de especies de flora y fauna amenazadas.</t>
  </si>
  <si>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</si>
  <si>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 xml:space="preserve">NBSAP-p.36- By 2020 Restoration of biodiversity hotspots in Antigua and Barbuda thereby contributing to climate change mitigation and adaptation and to combating desertification
</t>
  </si>
  <si>
    <t>NBSAP - p.52 - Ecosystem resilience and the contribution of biodiversity to carbon stock have been enhanced, through conservation and restoration, including restoration of at least 15% of degraded ecosystems</t>
  </si>
  <si>
    <t>5NR- p. 45 -  Objectif 16 : D’ici à 2017, la contribution de la biodiversité nationale aux stocks de carbone est évaluée et des mesures pour son amélioration sont prises notamment par le renforcement de la résilience des écosystèmes et la restauration de ceux dégradés</t>
  </si>
  <si>
    <t>(pg. 126) By 2020 at least 5 % of degraded ecosystems are restored /rehabilitated to increase their resilience By 2020 the country will have increased the tree cover to 10% NCCRS and Action plan by 2017</t>
  </si>
  <si>
    <t>5NR- p.43- By 2020 area under forest cover is increased by 4% and managed sustainably, ensuring conservation of biodiversity</t>
  </si>
  <si>
    <t xml:space="preserve">(pg. 128) This target is partially
incorporated into the NBSAP
2003- 2010, and include the
following national target:
i) Existence of a program for
the rehabilitation and
restoration of degraded
ecosystems
</t>
  </si>
  <si>
    <t xml:space="preserve">National Target 14: By 2020, 30% of the country is covered by forests hence increasing carbon stocks and contributing to climate change mitigation and adaptation. </t>
  </si>
  <si>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</si>
  <si>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</si>
  <si>
    <t xml:space="preserve">5 NR- P.74 - Relevant national 5-year target(s) from NBF 2008. (table)
* National programme dealing with ecosystem adaptation to climate change has been
developed and is accepted by all stakeholders.
</t>
  </si>
  <si>
    <t xml:space="preserve">
NBSAP-P.52:
Objectif 3 : D’ici à 2020 au plus tard, les écosystèmes et habitats prioritaires, sont restaurés et préservés.</t>
  </si>
  <si>
    <t xml:space="preserve">
Objectif 4 Préserver et restaurer les écosystèmes et leur fonctionnement</t>
  </si>
  <si>
    <t xml:space="preserve">
Target 4:  By 2020, up to 15% of the areas of degraded ecosystems in Nigeria are under programmes for restoration and sustainable management.</t>
  </si>
  <si>
    <t xml:space="preserve">
NR- P.27: ABCS Target 4: By 2015, achieve a national increase of 600,000km2 of native habitat managed primarily for biodiversity conservation across terrestrial, aquatic and marine environments
NR- P.27: ABCS Target 5: By 2015, 1,000km2 of fragmented landscapes and aquatic systems are being restored to improve ecological connectivity.
NR- P.27: ABCS Target 6: By 2015, four collaborative continental-scale linkages are established and managed to improve ecological connectivity.</t>
  </si>
  <si>
    <t xml:space="preserve">
NBSAP-ADD1-P.23:
National Target3: Strategies for reducing rate of degradation, fragmentation and loss of all natural habitats are finalized and actions put in place by 2020 for environmental amelioration and human well-being.
</t>
  </si>
  <si>
    <t>Quantitative target for the conservation of carbon in natural ecosystem</t>
  </si>
  <si>
    <t>Côte d'Ivoire</t>
  </si>
  <si>
    <t xml:space="preserve">
Le scénario de base  est mis en œuvre par des plantations forestières pour un coût total entre 2015  et 2030 de 1 229 millions $US Le scénario d’atténuation conditionnel est mis en œuvre par les mesures suivantes :
- Plantations forestières pour un coût de 10 719 millions $US
- Régénération naturelle assistée pour un coût de 1 531 millions $US
- Gestion des forêts classées et  des aires protégées pour un coût de 670 millions $US</t>
  </si>
  <si>
    <t xml:space="preserve">
AFOLU (Agriculture, Forestry and Other Land Uses) :
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t>
  </si>
  <si>
    <t xml:space="preserve">
1- Build an effective institutional system to manage climate change associated crises and disasters at the national level.
2- Activate genetic diversity of plant species with maximum productivity.
3- Achieve biological diversity of all livestock, fishery, and poultry elements to protect them and ensure food security.
4- Develop agro-economic systems and new structures to manage crops, fisheries and animal
production, which are resilient to climate changes.
5- Increase the efficiency of irrigation water use, while maintaining crop productivity and
protecting land from degradation.
</t>
  </si>
  <si>
    <t xml:space="preserve">
Forestry
 Increase awareness and strengthen participation of local dwellers in forest conservation.
 Protection of forest and biodiversity rich forest zones.
 Increase the amount of forested land through reforestation of degraded lands.</t>
  </si>
  <si>
    <t xml:space="preserve">
Enteric fermentation
Manure management
Rice cultivation
Agricultural soils
Field burning of agricultural residues
</t>
  </si>
  <si>
    <t xml:space="preserve">
</t>
  </si>
  <si>
    <t>AFOLU emissions reduction as compared to Business as Usual.
Unconditional:
2020 - 4,809 Gg CO2e (6%); 2025 - 6,209 Gg CO2e (6%); 2030 - 7,236 Gg (7%)
Conditional:
2020 - 10,560 (12%); 2025 - 10,560 Gg CO2e (11%); 2030 - 10,560 Gg CO2e (10%)</t>
  </si>
  <si>
    <t>Restoration of degraded land at the rate of 30,000 ha/yr, increase of natural forests from 170,00 to 500,000 ha, reduction of forest areas burned by wildfires from 30% of the national territory to 20%</t>
  </si>
  <si>
    <t xml:space="preserve"> Réduction du taux de déforestation (qui est de - 40 000 ha) de 25% à partir de 2023
 Aménagement de 20 forêts par an pendant 5 ans dont 60% de forêts classées et 40% de forêts communales
 Mise en défens/RNA, reboisement par enrichissement des forêts
 4000 ha/an de mangroves mis en défens et reboisés à partir de 2017
 200 000 à 204 000 ha reboisées annuellement à partir de 2017 </t>
  </si>
  <si>
    <t>Develop and maintain a frequent forest inventory system to facilitate monitoring of forest  status; and initiate a research programme on a range of climate change-related topics, including long term impacts of climatic shifts on closed forests.</t>
  </si>
  <si>
    <t>Mise en œuvre des instruments tels que : la Stratégie et le Plan National d’Action sur la Biodiversité (SPNAB), la Politique Nationale de Gestion des Zones Humides (PNZH), le projet de loi-cadre sur la biodiversité et les aires protégées ; Renforcement de la résilience des écosystèmes;</t>
  </si>
  <si>
    <t xml:space="preserve"> </t>
  </si>
  <si>
    <t>N/A or not found</t>
  </si>
  <si>
    <t xml:space="preserve">
NBSAP-P.104: National Target 15: By 2020, priority degraded ecosystems and habitats are identified and rehabilitated
NBSAP-P.103:In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</si>
  <si>
    <t>The National Adaptation Programme of Action (2009) maps out a country-driven programme to address immediate and projected climate change adaptation requirements 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[It includes the following actions : ]
- Promote Climate Resilience in Forestry Production and Forest Ecosystems
- Promote Technical Capacity in the Forestry Sector for Managing Forests for Climate Change Adaptation</t>
  </si>
  <si>
    <t>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t>
  </si>
  <si>
    <t>Some adaptation activities under these goals will also have mitigation co-benefits:
- Improving pasture management would increase the carbon sink of CO2 equivalent to 29 million tons per year, which is equal to 1/3 of emission reduction in energy sector.
- Reducing bare fallow to 30% in rain-fed crop land, increasing variety of crops, zero-tillage and crop rotation would consequently increase a carbon sink.
- Increasing protected areas up to 25-30% of the total territory will help maintain natural ecosystems and preserve water resources with a certain synergy effects for emission reduction.
- Increasing forest area up to 9.0% by 2030 and reducing forest fire affected area by 30% would conserve ecosystems and increase carbon sink.</t>
  </si>
  <si>
    <t>By 2030, Myanmar’s permanent forest estate (PFE) target is to increase national land area as forest land with the following percent of total land area:
• Reserved Forest (RF) and Protected Public Forest (PPF) = 30% of total national land area
• Protected Area Systems (PAS) = 10% of total national land area
Institutional Arrangements and Planning for Implementation
• To decrease the rate of deforestation so that a significant mitigation contribution from the sector can continue to be realised.
• To preserve natural forest cover to maintain biodiversity and ecosystems in Myanmar
• To realize the co-benefits of the policy such as reducing soil erosion, thereby decreasing the risk of floods and landslides that may occur near rivers
• To increase the resilience of mangroves and coastal communities which are at risk of flooding.
• To increase capacity Sustainable Forest Management.</t>
  </si>
  <si>
    <t>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t>
  </si>
  <si>
    <t>Nepal’s Pilot Program for Climate Resilience (PPCR) compromises four components:
 i) Building Climate Resilience of Watersheds in Mountain Eco Regions,
 ii) Building Resilience to Climate Related Hazards,
 iii) Mainstreaming Climate Change Risk Management in Development, and
iv) Building Climate Resilient Communities through Private Sector Participation.
All the PPCR components have been launched and are at different stages of implementation. The ongoing programs are complimenting each other and various climate change programs in Nepal including those to implement LAPAs and other NAPA priorities.</t>
  </si>
  <si>
    <t>The following priority measures, among others, would need such identified implementation support:
1. Institutional and system strengthening for downscaling climate change models, climate scenario-building, climate monitoring and observation;
2. Roll-out of science-based climate/disaster risk and vulnerability assessment process as the basis for mainstreaming climate and disaster risks reduction in development plans, programs and projects;
3. Development of climate and disaster-resilient ecosystem(s);
4. Enhancement of climate and disaster-resilience of key sectors – agriculture, water and health;</t>
  </si>
  <si>
    <t>In acknowledgement of their significant roles in adaptation, subnational and local governments are mandated to develop their own action plans for climate change adaptation by 2015 tailored to the local context.
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
-  Strengthening infrastructure for climate change monitoring, forecasting and analysis;
-  Developing a management system for disaster prevention and stable water supply;
-  Developing a climate-resilient ecosystem;
- Making a systemic transition to a climate-resilient social and economic structure; and
- Enhancing the system for the management of negative impacts of climate change on health</t>
  </si>
  <si>
    <t>1. Increase forest cover of Sri Lanka from 29% to 32% by 2030. 
2. Improvement of the quality of growing stock of Natural Forests and Forest plantations. 
3. Restoration of degraded forests and hilltops (shrubs, grasslands and state lands)
 4. Increase river basin management for major rivers of Sri Lanka.
 5. Forestation of underutilized private lands and marginal Tea lands.</t>
  </si>
  <si>
    <t xml:space="preserve">Thailand’s prioritized adaptation efforts include: 
• Promote and strengthen Integrated Water Resources Management (IWRM) practices to achieve water security, effective water resource management to mitigate flood and drought 
• Promote sustainable agriculture and Good Agricultural Practice (GAP) 
• Increase national forest cover to 40% through local community participation, including in particular headwater and mangrove forests to enhance adaptive capacities of related ecosystem 
• Safeguard biodiversity and restore ecological integrity in protected areas and important landscapes from the adverse impacts of climate change, with the emphasis on vulnerable ecosystems and red list species </t>
  </si>
  <si>
    <t>Measures to achieve the GHG emissions mitigation targets of the INDC:
- Manage and develop sustainable forest, enhance carbon sequestration and environmental services; conservation of biodiversity associated with livelihood development and income generation for communities and forest-dependent people
-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
- Develop and improve policies to promote sustainable forest management; mechanisms and policies to attract private sector investment for sustainable forest management, afforestation, reforestation, biodiversity conservation and livelihood development;
- Integrate and effectively use domestic and international resources for implementation of programmes and projects related to forest management and development, livelihoods and biodiversity conservation such as REDD+, the policy of payment for forest environmental services (PFES), etc.
- Strengthen and expand international cooperation for investment, technical assistance and capacity building, information and experience sharing on the sustainable forest management and development, biodiversity conservation and livelihood development.</t>
  </si>
  <si>
    <t>Climate change adaptation activities until 2030 will be evaluated based on the following key indicators:
- At least 90% of Socio-Economic Development Plans have integrated disaster risk management and climate change adaptation;
- The average national poverty rate is lowered 2%/year; in poor districts and communes it is lowered by 4%/year;
- Forest coverage increases to 45%; the area of protection forest in coastal areas is increased to 380,000 hectares, including 20,000 to 50,000ha of additional mangrove planting;</t>
  </si>
  <si>
    <t xml:space="preserve">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</si>
  <si>
    <t>[Preliminary target from National Repor] 5NR- p. 25 - Reducción de la tasa de pérdida y transformación de hábitats naturales y reducción significativa de degradación y fragmentación de bosques.</t>
  </si>
  <si>
    <t xml:space="preserve">Los bosques influyen grandemente dentro de las emisiones netas de inventario de GEI en Cuba, al remover aproximadamente 14,3 millones de toneladas de CO2 de acuerdo a los datos del último inventario. Ello es fruto del crecimiento sostenido de la cubierta boscosa en Cuba, desde un 13,9% del territorio, al triunfo de la Revolución, hasta 29.4% en 2014. </t>
  </si>
  <si>
    <t>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biológica y sus servicios ecosistémicos se habrán restaurado mejorando sus capacidades de adaptación al cambio climático y contribuyendo a la disminución de la vulnerabilidad socio ambiental.</t>
  </si>
  <si>
    <t>Meta 9. Para el 2020, se habrán identificado las principales amenazas y se habrán establecido medidas para la conservación del mangle, arrecifes de coral y especies asociadas en el Caribe y Pacífico Nicaragüense.</t>
  </si>
  <si>
    <t>Sub-objective 1.2 Preserving the biodiversity of Suriname in an adequate and effective national system of protected areas and in areas beyond this system.
Sub-objective 1.3 Rational designation and use of land, taking into account biodiversity conservation and the impact of disasters.</t>
  </si>
  <si>
    <t>[Preliminary target from National Report] 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</si>
  <si>
    <t>[No meta encontrada - pero la accion siguiente es relevante] La Agenda 2025 establece el incremento anual de la cobertura forestal mediante un árbol por cada boliviana y boliviano, en alusión a la deforestación que se constituye en uno de los mayores retos para la conservación de la diversidad biológica del país.</t>
  </si>
  <si>
    <t xml:space="preserve">Para 2020, se conocerá la línea base de la pérdida de hábitats naturales priorizados en el territorio marino-costero y continental.
</t>
  </si>
  <si>
    <t xml:space="preserve">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</si>
  <si>
    <t>Resultado 7. Ecuador ha reducido al menos en un 30% las tasas de pérdida, fragmentación y degradación de los hábitats naturales, en relación a la línea base del 2013.</t>
  </si>
  <si>
    <t>Resultado 16. Ecuador recupera hábitats degradados con el fin de mitigar el cambio climático, y proporcionar bienes y servicios ecosistémicos esenciales para el cambio de la matriz productiva y el bienestar de la población.</t>
  </si>
  <si>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</si>
  <si>
    <t xml:space="preserve">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t>
  </si>
  <si>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</si>
  <si>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t>
  </si>
  <si>
    <t>In addition, Brazil also intends to:
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t>
  </si>
  <si>
    <t>Restoring the natural ecology system to respond to climate change
Implementing management measures for protected areas to adapt to climate change...Ensure climate resilience of critical ecosystems (Tonle Sap Lake, Mekong River, coastal ecosystems, highlands, etc.), biodiversity, protected areas and cultural heritage sites</t>
  </si>
  <si>
    <t>Increase of more than 2.5 million hectares in coverage of newly protected areas in the National System of Protected Areas -SINAP-, in coordination with local and regional stakeholders.</t>
  </si>
  <si>
    <t>As set out in the vision for the NSCC referred to in Section 1, Lao PDR intends to balance its need for development without compromising its environment. For climate change adaptation this translates into the following goals which are articulated in the NSCC:
-  Increase resilience of key economic sectors and natural resources to climate change and its impacts</t>
  </si>
  <si>
    <t>En Octubre de 2014 se firmó el convenio intersectorial público privado que oficializa la iniciativa “Alianza por el Millón”, donde, tanto el sector público, como privado, sociedad civil y organizaciones no gubernamentales comparten el objetivo de reforestación de un millón de hectáreas en un periodo de 20 años, con el fin de rehabilitar y restaurar ecosistemas impactados por la deforestación y la degradación de bosques en Panamá.
Esta iniciativa, cuenta además de esta ambiciosa meta, con una serie de acuerdos de colaboración para otorgar las condiciones habilitantes regulatorias y de política pública, que permitirán dar operatividad, viabilidad y sustentabilidad a las actividades contempladas. Los acuerdos de colaboración que establece la alianza son:
a. Modernizar la legislación forestal.
b. Promover la simplificación de los procesos relacionados con las actividades forestales.
c. Identificar y priorizar áreas susceptibles a reforestar, con la finalidad de revertir los procesos
de deforestación y proteger los bosques existentes.
d. Elaborar un registro de las reforestaciones realizadas y mantener un monitoreo de los avances
alcanzados con la ejecución del convenio.
e. Impulsar el fortalecimiento de la institucionalidad forestal y trabajar en conjunto para acceder a
recursos económicos nacionales e internacionales para promover el sector de forma sostenible
y eficiente.
f. Promover la creación de sistemas de incentivos para el manejo sostenible de los recursos
forestales, la reforestación y la restauración de las tierras de vocación forestal degradadas.
g. Promover la creación de franjas de protección con reforestación y restauración alrededor de las
áreas protegidas amenazadas por la deforestación.
h. Promover e incentivar a los tenedores de tierras para la protección de las fuentes de agua;
mantener y/o aumentar la cobertura forestal de sus fincas mediante el establecimiento de sistemas agroforestales, silvopastoriles y el establecimiento de parcelas forestales de rápido crecimiento; y el mantenimiento de la cobertura boscosa de sus fincas.
i. Crear corredores biológicos por medio del establecimiento de cercas vivas en todas las fincas y la protección de las fuentes de agua.
j. Incorporar a los sistemas agrícolas los conceptos de reforestación y restauración de ecosistemas.
k. Promover la investigación sobre especies forestales en Panamá como base para la toma de decisiones sobre políticas estatales del sector forestal.
l. Establecer campañas de concienciación para la participación de la población panameña en el objetivo del convenio en beneficio del país.</t>
  </si>
  <si>
    <t>- Réduction des Émissions liées à la déforestation et la dégradation des forêts
- Réduction des émissions liées aux feux de brousse et de pâturages
BAU : 907.656,2 ha brûlés en moyenne de 2006 à 2010
- Séquestrations dues au reboisement des forêts classées
BAU : 22 392 ha/an de 2011 à 2035</t>
  </si>
  <si>
    <t>Restaurer les forêts naturelles dégradées = 532 961 ha
Rationaliser l’exploitation des ressources forestières = sur une étendue d’au moins 1 330 000 ha 
Promouvoir les plantations domaniales, communales et privée = superficie de 100 000 ha
Sécuriser les limites des domaines forestier de l'Etat = 2 664 805ha</t>
  </si>
  <si>
    <t>- Restauration des forêts classées avec l’implication des communautés locales
- Facilitation de la réhabilitation des terres dégradées et du reboisement des zones de savanes, et renforcer les stocks de carbone dans les forêts dégradées à travers la promotion du reboisement villageois
-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
- Découplage de la production agricole et de la déforestation via la promotion de pratiques agricoles intensives à impacts réduits sur l’environnement et l’agroforesterie. Concrétisation du concept « Agriculture zéro déforestation » et valorisation des produits associés.</t>
  </si>
  <si>
    <t>Reductions in the Agricultural Sector:
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t>
  </si>
  <si>
    <t>Plant trees on communal lands to increase forest coverage.
(reduction in Gg Co2 in 2025 = 275.2)</t>
  </si>
  <si>
    <t xml:space="preserve">
NR-p. 14: targets are not specific and are developed based on themes - some of these targets relate to target 5:
- Protected area systems that incorporate natural habitats and viable populations of species established</t>
  </si>
  <si>
    <t xml:space="preserve">
NR-p. 14: targets are not specific and are developed based on themes - some of these targets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</si>
  <si>
    <t xml:space="preserve">
- 45% emission reduction through results-based emission reduction programme in cocoa landscape.
</t>
  </si>
  <si>
    <t xml:space="preserve">Promote Sustainable utilization of forest resources through REDD
- Continue 10,000 ha annual reforestation/afforestation of degraded lands
- Double 10,000 ha annual reforestation/afforestation of degraded lands translating to 20,000ha on annual basis
- Support enhancement of forest carbon stocks through 5,000 ha per annum
enrichment planting and enforcement of timber felling standards
- Manage 413,000 ha fragile, ecologically sensitive and culturally significant sites in 22 administrative district in the forest and savannah areas. </t>
  </si>
  <si>
    <t>● Run reafforestation programmes throughout the country, covering 10,000 ha per year, and ensure sustainable management of replanted areas;</t>
  </si>
  <si>
    <t>●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
●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
The mitigation potential of this commitment is calculated as a total of 34m tonnes CO2eq over the next 15 years.</t>
  </si>
  <si>
    <t>Climate Change Adaptation through large scale ecosystem restoration of the River Gambia Watershed by:
a) Improving disaster preparedness and decrease the effect of disasters at seven hotspots identified under the 2012 study by the National Disaster Management Agency;
b) Promoting access to community markets by improving climate resilience of infrastructure and transport through the rehabilitation and development of critical road and transport infrastructure;
c) Establishing food processing and preservation plants close to communities and markets;
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
Adapting the Agriculture System to Climate Change in The Gambia will strengthen diversified and sustainable livelihood strategies for reducing the impacts of climate variability and change in agriculture and livestock sectors of The Gambia</t>
  </si>
  <si>
    <t>Value addition-based utilization of forest resources. Governance reform for utilization of forest resources for sustainable energy use and biodiversity business.</t>
  </si>
  <si>
    <t xml:space="preserve">- Preserve and restore the riparian forests at the spring heads and along the banks, in particular on cross-border ';
- Update the Mangrove Management and Development Plan (SDAM) ;
- Reduce the sources of mangrove degradation;
</t>
  </si>
  <si>
    <t xml:space="preserve">
Un ensemencement aerien des terres degradees.</t>
  </si>
  <si>
    <t xml:space="preserve">Strategy 4: Restoration of degraded lands with high production potential
Strategy 7: Adoption and application of climate-smart and conservation agriculture through best agricultural practices that enhance soil fertility and improve crop yield
</t>
  </si>
  <si>
    <t xml:space="preserve">
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t>
  </si>
  <si>
    <t xml:space="preserve">Export status </t>
  </si>
  <si>
    <t xml:space="preserve">
NBSAP- P.47: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</si>
  <si>
    <t xml:space="preserve">NBSAP- P.90:
Objectif 16: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 D’ici à 2020, la résilience des écosystèmes et la contribution de la diversité
biologique aux stocks de carbone auront été améliorées
</t>
  </si>
  <si>
    <t>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t>
  </si>
  <si>
    <t xml:space="preserve"> NR- P.85: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</si>
  <si>
    <t>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t>
  </si>
  <si>
    <t xml:space="preserve">
NBSAP- P.134: National goal 5: By the year 2020, to reduce more than half the degradation and fragmentation of the habitats and ecosystems, mainly, forests and more sensitive ecosystems, provoked by illegal activities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</si>
  <si>
    <t xml:space="preserve">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
NBSAP-P.144
National Goal 15: 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t>
  </si>
  <si>
    <t>The country plans in the short term to implement the following actions with financial, technological and capacity building support from the international community: Increase the percentage of protected areas from 15% to 26% and ensure its management, and an effective implementation of the Forest Act and the moratorium to ban the felling and export of timber over the next five years;
 Conduct a nationwide forest inventory;
 Develop an agro-ecological zone and forest management;
 Strengthen the existing capacity to participate in the REDD+ mechanism and consequently raise the
national effort to combat the adverse impacts of climate change.
 Increase the adaptation capacity of national ecosystems through soil protection against water and wind erosion, and protecting the coast against rising sea levels and other types of erosion.
In the medium and long term Guinea-Bissau undertakes, provided there is financial, technological and capacity building support from the international community starting from the new climate agreement and green fund, to:
 Develop a national reforestation and sustainable management of forest and agro forestry ecosystems programme by 2025;
 Develop scientific and technical research on adaptation of new productive varieties with broad spectrum tolerance to climate adverse effects by 2025;
 Reduce illegal and indiscriminate felling of trees by 2030; 
 Promote forestry/plantation of species resistant to drought and low rainfall by 2030;</t>
  </si>
  <si>
    <t xml:space="preserve">
- de l’aménagement forestier pour la restauration des écosystèmes dégradés visant à reboiser  325.000  hectares,  promouvoir  la  régénération  naturelle  assistée  et  la  lutte  contre  l’ensablement et renforcer la protection des aires protégées sur 9 millions d’hectares.
-  du développement  d’une agriculture  intelligente et  résiliente aux  changements  climatiques,  pour l’aménagement hydro-agricole de 92,000 ha dans le contexte d’une gestion durable des  terres avec l’engagement de l’Etat à consacrer 15% du Budget national à l’agriculture
- de l’aménagement pastoral résilient aux changements climatiques visant la matérialisation de  3,300 km d’axes de transhumance afin de réduire les conflits entre agriculteurs et éleveurs, la  réalisation de 21 périmètres et aires pastorales d’une superficie totale de 400.000 ha ;</t>
  </si>
  <si>
    <t>Application of all Strategic Framework for Sustainable Land Management (SF-SLM) techniques:
- Restoration of agricultural/forestry/pastoral lands: 1,030 000 ha.
- Assisted natural regeneration: 1,100,000 ha.
- Fixation of dunes : 550,000 ha.
- Management of natural forests: 2,220,000 ha.
- Hedgerows: 145,000 km.
- Planting of multiuse species: 750,000 ha.
- Planting of Moringa oleifera : 125 000 ha.
- Seeding of roadways: 304,500 ha.
- Private forestry: 75,000 ha.</t>
  </si>
  <si>
    <t> Increase the percentage of protected areas from 15% to 26% and ensure its management</t>
  </si>
  <si>
    <t>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</si>
  <si>
    <t>Implementation of good forestry and agroforestry practices (selective cutting of firewood, assisted natural regeneration, controlled land clearing, etc.)
Protection of water courses and water sources
Practice of agroforestry for sustained management of natural resources
2000 ha (200 km) of stream banks are rehabilitated and access-protected each year
Establishment and classification of 900,000 ha of regionally focused biodiversity conservation areas in 12 regions or 180 communes</t>
  </si>
  <si>
    <t xml:space="preserve">
In the land use, land-use change and forestry sector, the priority actions relate to: 
(i) the promotion of private, community and State reforestation through the creation of plantations and the promotion of agroforestry on cultivated land;
(ii) sustainable forest planning and protection (by managing brush fires, regenerating degraded sites, and demarcating and developing protected areas and tourist sites); and
(iii) the cartographic study of geographic areas with a strong potential for the development of biofuels in conjunction with food security issues. Cost: US$500 million.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</si>
  <si>
    <t xml:space="preserve">  </t>
  </si>
  <si>
    <t xml:space="preserve">NR- P.53:National target 12: By 2020, the rate of natural habitat  loss will have reduced, and restoration of natural habitat and wildlife corridors will have improved. </t>
  </si>
  <si>
    <t>NR- P. 28: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</si>
  <si>
    <t xml:space="preserve">NBSAP-ADD1-P.23:
National Target 3: Strategies for reducing rate of degradation, fragmentation and loss of all natural habitats are finalized and actions put in place by 2020 for environmental amelioration and human well-being.
</t>
  </si>
  <si>
    <t xml:space="preserve">NR- P.35: GOAL:
Conduct efforts for reducing GHG emission from deforestation, forest and peatland degradation (REDD) to minimize global warming impact on environmental degradation
NR- P.45: GOALS
• Conservation/Protection Forest Rehabilitation (KPL)
• Establishment of City Forest
• Mangrove/Coastal Forest Rehabilitation
• Critical land rehabilitation
</t>
  </si>
  <si>
    <t>(NBSAP- P.30) 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</si>
  <si>
    <t>(NBSAP- P.29): 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</si>
  <si>
    <t>NBSAP-P.25 :
Goal 7: Increase forest cover  to 9% by 2025 through the improvement of forest management,  and thereby protect forest biodiversity.
NBSAP-P: 23 &amp; 30
Goal 9 Taking into account grazing capacity and livestock population size, utilize legislative and economic leverages to reduce pasture degradation by up to 70% and increase quality of existing pastures. 
Goal 10 Modernize industrial farming techniques and activities to meet requirements for food safety and conservation of biodiversity in the environment’s agricultural ecosystem.</t>
  </si>
  <si>
    <t>(NBSAP-P.51)
Target 5.1:  By 2020, at least 10% of DMDF and mangrove forest has been put under some form of protection, including sustainable use and management. 
Target 5.2:  By 2018, the PFE will have been re-assessed. 
Target 5.3:  By 2020, all wetland areas surveyed and prioritized for conservation value. 
Target 5.4:  By 2020, all wetland areas surveyed and prioritized for conservation value. 
Target 5.5: By 2020, negotiation phase to sign Forest Law Enforcement Governance and Trade (FLEGT) and Voluntary Partnership Agreement{VPA ) a FLEGT VPA has been conducted.</t>
  </si>
  <si>
    <t xml:space="preserve">NBSAP-P.99: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</si>
  <si>
    <t xml:space="preserve">(NR-P.56)
3. By 2020, at least 10,000 ha of the encroached forestland will be reclaimed.
(NR-P.60)
2. By 2020, additional 5,000 ha. degraded forest will be rehabilitated through pro-poor leasehold forestry.
</t>
  </si>
  <si>
    <t xml:space="preserve">
(NR-P. 56)
2. The landscape management strategy will be revised and implemented by 2016.
4. By 2020, the rate of forest loss and degradation will be reduced by at least 75 percent of the current extent.
5. By 2020, effective conservation measures are implemented in at least five critical north-south corridors
(NR-P.60)
1. By 2020, participatory and integrated soil and water conservation initiatives will be implemented in at least 30 critical sub-watersheds.
3. By 2020, the loss and degradation of Siwalik forests will be reversed or at least controlled by making it a priority of the central and local governments (i.e. DDCs, VDCs).</t>
  </si>
  <si>
    <t>NR-P.99: By 2016, every sector of society, particularly local communities and their networks, significantly increase their participation in the conservation, restoration and sustainable use of biodiversity.
NR-P.99: By 2016, the rate of habitat loss, including forestlands, is reduced.
NR-P.99: By 2016, effectiveness in managing wetlands is increased at all levels.
NR-P.99: By 2020, the rate of habitat loss, including forestlands, is reduced by 50%.</t>
  </si>
  <si>
    <t>NR-P.99: By 2016, every sector of society, particularly local communities and their networks, significantly increase their participation in the conservation, restoration and sustainable use of biodiversity.
NR-P.99:  By 2021, the loss of wetland ecosystem is significantly reduced in order to enable ecosystem services and facilitate ecosystem-based adaption to climate change.</t>
  </si>
  <si>
    <t xml:space="preserve">NR-P.75: 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</si>
  <si>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t>
  </si>
  <si>
    <t xml:space="preserve">NBSAP Target: By 2020, the status of biodiversity has improved through the safeguarding of ecosystems, species and genetic diversity in the 30 declared protected areas. </t>
  </si>
  <si>
    <t>Bangladesh acknowledges that climate change action requires a holistic approach and further acknowledges that many activities will deliver both adaptation and mitigation benefits. For example,
Bangladesh’s national afforestation programme has led to significant afforestation in newly accreted lands along the coast in the Bay of Bengal as well as reforestation in the adjacent denuded hills.
About 195,000 hectares of mangrove plantations have been raised so far and these new plantations are also playing an important role in carbon sequestration. More analysis needs to be carried out on
future GHG emissions and mitigation options for the LULUCF sector and when this is done, further consideration will be given to mitigation-adaptation synergies in this sector.</t>
  </si>
  <si>
    <t>The first comprehensive national forest inventory presently underway will provide an updated state of the forests in Bhutan by end of 2016.
The forest monitoring and inventory system being developed in conjunction with a national forest monitoring system for REDD+ will enable monitoring and assessment of forest cover
over time. 
The Bhutan Trust Fund for Environmental Conservation also provides local funding for projects addressing mitigation and adaptation.</t>
  </si>
  <si>
    <t>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t>
  </si>
  <si>
    <t xml:space="preserve">The intensification of dry climatic conditions cause the increase of the frequency of forest and steppe fires, the occurrence and the intensity of forest insect and pest outbreaks. As a result, the forest area
is reduced by 0.46% annually, and forest resources have been degraded significantly. </t>
  </si>
  <si>
    <t>[NB: some sections of the NDC present quantiative ecosystem-based mitigation and adaptation actions but they appear to be tentative and therefore have been left for the following box]</t>
  </si>
  <si>
    <t>The primary mitigation effort of PNG lies in reducing emissions from land use change and forestry. PNG can contribute to addressing the global mitigation gap by reducing deforestation and promoting
forest conservation and sustainable management of its forests. The main forestry effort will be coordinated though the existing REDD+ initiative.</t>
  </si>
  <si>
    <t>The primary mitigation effort of PNG lies in reducing emissions from land use change and forestry. PNG can contribute to addressing the global mitigation gap by reducing deforestation and promoting</t>
  </si>
  <si>
    <t>Forest conservation and sustainable management of its forests. The main forestry effort will be coordinated though the existing REDD+ initiative.</t>
  </si>
  <si>
    <t xml:space="preserve">Major broader adaptation targets identified such as: 
1. Mainstreaming climate change adaptation into national planning and development. 
2. Enabling climate resilient and healthy human settlements. 
3. Minimizing climate change impacts on food security. 
4. Improving climate resilience of key economic drives. 
5. Safeguarding natural resources and biodiversity from climate change impacts. 
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
Biodiversity Sector INDCs:
1. Restoration of degraded areas inside and outside the protected area network to enhance resilience. 
2. Increasing connectivity through corridors, landscape/matrix improvement and management.
3. Improve management, and consider increasing the extent of protected areas, buffer zones and create new areas in vulnerable zones. 
4. Identify biodiversity hotpots in Sri Lanka and upgrade them. the Dry Zone
5. Promotion of traditional methods of biodiversity conservation for increased resilience in ago ecosystems.
6. Implementation of  community driven conservation projects and programmes </t>
  </si>
  <si>
    <t>[Preliminary target from National Report] 5NR- p. 25 -Incremento de la resiliencia deecosistemas y su contribución a la adaptación y mitigación del cambio climatico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</si>
  <si>
    <t>HLS representation</t>
  </si>
  <si>
    <t>Mr. Boyko Malinov, Vice-minister of Environment and Water</t>
  </si>
  <si>
    <t>H.E. Robert Bopolo Mbongeza, Minister of Environment, Nature Conservation and Sustainable Development</t>
  </si>
  <si>
    <t>H.E. Kimmo Tiilikainen, Minister of Agriculture and Environment</t>
  </si>
  <si>
    <t>Mr. Jorge Rescala, General Director of the National Forest Commission</t>
  </si>
  <si>
    <t>H.E. Jan Szyszko, Minister of Environment</t>
  </si>
  <si>
    <t>H.E. Silvia Calva Armengol</t>
  </si>
  <si>
    <t>Vice-minister, Mr. Günter Liebel</t>
  </si>
  <si>
    <t>Vice-minister, Mr. Abdullah Al Islam Jacob</t>
  </si>
  <si>
    <t>H.E. Mr. Andrei Kovkhuto</t>
  </si>
  <si>
    <t>Vice-minister, Mr. Patrik Mlynar</t>
  </si>
  <si>
    <t>H.E. Mr. Walter García Cedeño</t>
  </si>
  <si>
    <t>Vice-minister, Mr. Angel María Ibarra Turcios</t>
  </si>
  <si>
    <t>H.E. Dr. Gemedo Dalle Tussie</t>
  </si>
  <si>
    <t>H.E. Dr. Barbara Hendricks</t>
  </si>
  <si>
    <t>Secretario, M. Bernardo Braima Mané</t>
  </si>
  <si>
    <t>H.E. Darul Vaz</t>
  </si>
  <si>
    <t>State Minister, Vice-minister, Mr. Yoshihiro Seki</t>
  </si>
  <si>
    <t>H.E. Carole Dieschbourg</t>
  </si>
  <si>
    <t>H.E.Ndahimananjara Johanita Benedicte</t>
  </si>
  <si>
    <t>H.E. Wan Junaidi Bin Tuanku Jaafar</t>
  </si>
  <si>
    <t>H.E. Keita Aida Mbo</t>
  </si>
  <si>
    <t>Vice-minister, Mr. Victor Morgoci</t>
  </si>
  <si>
    <t>Secretary General, Mr Abdelouahed Fikrat</t>
  </si>
  <si>
    <t>Mrs. Anselmina Luis Abrão Nantakota Liphola</t>
  </si>
  <si>
    <t>H.E. Shankar Bhandari</t>
  </si>
  <si>
    <t>H.E. Maggie Barry</t>
  </si>
  <si>
    <t>H.E. Vidar Helgesen</t>
  </si>
  <si>
    <t>H.E. Mr. Zahid Hamid</t>
  </si>
  <si>
    <t>H.E. Mirei Endara</t>
  </si>
  <si>
    <t>H.E. Cristiana Pasca Palmer</t>
  </si>
  <si>
    <t>Vice-minister, Mr. Souleymane Diallo</t>
  </si>
  <si>
    <t>H.E. Haddijatou Jallow</t>
  </si>
  <si>
    <t>Vice-minister, Mr. Joseph Africano Bartel</t>
  </si>
  <si>
    <t>Vice-minister, Hon. Anuradha Jayarathne</t>
  </si>
  <si>
    <t>H.E. Hassan Abdelgadir Hilal</t>
  </si>
  <si>
    <t>H.E. Haydi Berrenstein</t>
  </si>
  <si>
    <t>State Secretary, Vice-minister, Marc Chardonnens</t>
  </si>
  <si>
    <t>H.E. Surasak Karnjanarat</t>
  </si>
  <si>
    <t>Dr Cheryl Case</t>
  </si>
  <si>
    <t>H.E Vice Minister Vo Tuan Nhan</t>
  </si>
  <si>
    <t>H.E. Jean Kapata</t>
  </si>
  <si>
    <t>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implementation of adaptation measures for ecosystems and ground and water ecosystem species, coastline, continental and oceanic island water systems, both in rural and urban areas.
The forestry and agriculture plan is made up of 21 measures which mainly focus around water management, research, in- formation and capacity-building, risk management and agricultural insurance and forestry management.</t>
  </si>
  <si>
    <t>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
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t>
  </si>
  <si>
    <t>The promotion of biodiversity conservation and Adaptation based on ecosystems.</t>
  </si>
  <si>
    <t>Reduce the negative impact of climate change on the agrarian activity (agriculture, livestock and forestry).
Promote comprehensive land management with a landscape approach, oriented to increase forests resilience to CC, and reduce the vulnerability of local populations.</t>
  </si>
  <si>
    <t xml:space="preserve">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Development and strengthening of the National Protected areas System, which contributes to the protection of climate change and variability vulnerable biodiversity and ecosystems. 
Restoration and maintenance of coastal ecosystems services that provide protection against extreme events and of ecosystems services that protect drinking water sources. 
Overhaul and maintenance of road infrastructure, especially in coastal/ flood sensitive areas, taking into account climate change and variability. 
Development of research and data collection programs and networks on the impacts and adaptation to climate change and variability.
Development of information systems, climate services and monitoring programs, particularly for the environmental, agriculture and emergency sectors, and development of early warning systems, to support decision-making. </t>
  </si>
  <si>
    <t>Mitigation and adaptation actions based on ecosystems</t>
  </si>
  <si>
    <t>H.E. Anil Madhav Dave, Minister for Environment, Forest and Climate Change</t>
  </si>
  <si>
    <t>exported</t>
  </si>
  <si>
    <t>Cabo Verde also aims at eliminating three stone cooking stove (35% of households still use three-stone stove) through improved low-emissions cookstoves by 2025 at the latest, and thereby substantially removing demand for firewood.</t>
  </si>
  <si>
    <t>Cabo Verde makes an unconditional long-term commitment to engage in reforestation
new afforestation/reforestation (“A/R”) campaigns in the order of 10,000 hectares until 2030 by 2030;
With international support, Cabo Verde seeks an A/R campaign area of around 20,000 hectares until 2030;
Cabo Verde estimates a planting effort of 400 trees per hectare. If 20,000 hectares are successfully planted, this will generate a long-term sequestration gain of 360 tCO2eq per hectare sequestered after 30 years, corresponding to 7.2 mtCO2eq for 20,000 hectares after 30 years.</t>
  </si>
  <si>
    <t>By 2020, the rate of loss of native habitats is reduced by at least 50% (in comparison with the 2009 rate) and, as much as possible, brought close to zero, and degradation and fragmentation is significantly reduced in all biomes.</t>
  </si>
  <si>
    <t>Mapa de ecosistemas</t>
  </si>
  <si>
    <t>1,2,3,4</t>
  </si>
  <si>
    <t>Increase forest cover from 57 to 60% by 2030</t>
  </si>
  <si>
    <t>Edited Mitigation actions</t>
  </si>
  <si>
    <t>Edited Adaptation actions</t>
  </si>
  <si>
    <t>Spain</t>
  </si>
  <si>
    <t>Text of AT 15</t>
  </si>
  <si>
    <t>Considération de la vulnérabilité des ecosystèmes naturels au changement climatique</t>
  </si>
  <si>
    <t>Considération de la contribution potentielle des écosystèmes naturels à l'adaptation au changement climatique</t>
  </si>
  <si>
    <t>Considération de la contribution potentielle des écosystèmes naturels à la Réduction des Risques de Catastrophe</t>
  </si>
  <si>
    <t>Consideración de vulnerabilidad climática</t>
  </si>
  <si>
    <t>Consideración de la contribución de los ecosistemas naturales a la adaptación</t>
  </si>
  <si>
    <t>Consideración de la contribución de los ecosistemas naturales a la Reducción del Riesgo de Desastres</t>
  </si>
  <si>
    <t>Consideración de la contribución a la lucha contra la desertificación</t>
  </si>
  <si>
    <t>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t>
  </si>
  <si>
    <t>NBSAp-P.132: By 2020, map and evaluate the benefits from forest, agricultural and water ecosystems, and strengthen the environmental permit mechanism and supervisory inspection within protected areas, areas of special interest and areas from the Natura 2000 ecological network plan</t>
  </si>
  <si>
    <t>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
NR-P.133: 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</si>
  <si>
    <t>NBSAP-P.63: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NBSAP-P.68:  By 2021 rate of wetland loss reduced by 25% and water efficiency in irrigation improved by 50%
NBSAP-P.70: By 2020, to promote sustainable hunting and harvesting through adequate planning, restoration and protection of key biological resources.</t>
  </si>
  <si>
    <t>(P. NBSAP 37) Target 6 Preserve and restore ecosystems and their functioning</t>
  </si>
  <si>
    <t>NBSAP-P.77:  Conservation of national natural capital and ecosystem restoration
Organisation and operation of a National System of Protected Areas and enhancement of benefits from their management</t>
  </si>
  <si>
    <t>NBSAP-P.77: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</si>
  <si>
    <t>By 2030, 50% of all natural ecosystems are sustainably managed and properly considered in land-use planning implementation</t>
  </si>
  <si>
    <t xml:space="preserve">By 2030, rehabilitation plans are implemented in at least 20% of degraded sites that will safeguard the sustained delivery of ecosystem services. </t>
  </si>
  <si>
    <t>Établir une liste rouge nationale des habitats et mettre en place des plans priorisés de sauvegarde des habitats les plus menacés du pays, notamment les zones humides.</t>
  </si>
  <si>
    <t>NBSAP-p.52:   Prendre les mesures nécessaires en vue d’augmenter la résilience des écosystèmes et la contribution de la biodiversité aux stocks de carbone, notamment au moyen de la conservation et de la restauration, des mesures d’atténuation et d’adaptation aux changements climatiques, et de la synergie avec les actions prises dans le cadre des autres conventions de Rio (Changements climatiques et lutte contre la désertification).</t>
  </si>
  <si>
    <t>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</si>
  <si>
    <t>NR-P.47: 
Target 9. To prevent the loss, degradation and fragmentation of natural habitats of national and European importance</t>
  </si>
  <si>
    <t>Objective 2.3 To contribute to the conservation and restoration of natural habitats and wild species.</t>
  </si>
  <si>
    <t>Objective 3.3 Contribute to the monitoring and improvement of the health status of forests and assess their contribution to climate change mitigation and adaptation.</t>
  </si>
  <si>
    <t>Objective 3.4 Contribute to biodiversity conservation through fire management.</t>
  </si>
  <si>
    <t>Objective 3.7 Continue the policy of wetland conservation.</t>
  </si>
  <si>
    <t>NR-P.47
TARGET 8. To integrate measures for adaptation and mitigation of climate change and combating desertification</t>
  </si>
  <si>
    <t>NR-P.62: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</si>
  <si>
    <t>NR-P.63: by 2025 restoration of wetlands in critical state, including streams and winter ponds, will be accomplished, and restoration of underrepresented ecosystems and extinct species will take place as a management routine.</t>
  </si>
  <si>
    <t>NR-P.7: By 2020, vulnerable ecosystems that provide essential services are safeguarded, with at least 15% of degraded ecosystems restored, while 20% of the habitats of European Community Importance in the Maltese territory have a favourable or improved conservation status</t>
  </si>
  <si>
    <t>NBSAP-P.65: By 2020, a national strategy for forest conservation and sustainable use is developed and effective</t>
  </si>
  <si>
    <t>By 2025, the status of habitat types and species, including their genetic diversity will improve and/or will be maintained.</t>
  </si>
  <si>
    <t xml:space="preserve">
NR-P.39: (NBSAP V.1) To establish an effective monitoring, management and coordination systemfor the conservation of forest biological diversity and the sustainable use of its components</t>
  </si>
  <si>
    <t xml:space="preserve">Policy on how to include Land Use, Land Use Change and Forestry into the 2030 greenhouse gas mitigation framework will be established as soon as technical conditions allow and in any case before 2020. </t>
  </si>
  <si>
    <t xml:space="preserve">In the agricultural sector, climate change studies expect that the productivity of two major crops in Egypt - wheat and maize –will be reduced by 15% and 19%, respectively, by 2050. Losses in crop productivity are mainly attributed to frequent temperature increase, irrigation water deficit, and pests and plant disease. In addition, 12% to 15% of the most fertile arable land in Nile Delta is negatively affected by sea level rise and salt water intrusion. </t>
  </si>
  <si>
    <t>1- Build an effective institutional system to manage climate change associated crises and disasters at the national level.
2- Activate genetic diversity of plant species with maximum productivity.
3- Achieve biological diversity of all livestock, fishery, and poultry elements to protect them and ensure food security.
4- Develop agro-economic systems and new structures to manage crops, fisheries and animal
production, which are resilient to climate changes.
5- Increase the efficiency of irrigation water use, while maintaining crop productivity and
protecting land from degradation.</t>
  </si>
  <si>
    <t>Enteric fermentation
Manure management
Rice cultivation
Agricultural soils
Field burning of agricultural residues</t>
  </si>
  <si>
    <t xml:space="preserve">Base year 1990: 34,043.49 GgCO2e (without LUCF)
Base year 1990: 26,619.96 GgCO2e (with LUCF)
BiH GHG emissions represent less than
0.1% of global total emissions. </t>
  </si>
  <si>
    <t xml:space="preserve">• Modernize the agricultural sector to make it more 
competitive and integrated in the global market to create 
wealth over the entire value chain. • Take into account the agricultural sector in all its sociological 
and territorial components by incorporating human 
development objectives as a key requirement. • Improve the promotion of natural resources and their 
sustainable management. • Define the necessary policies to support sustainable growth. 
• Develop forestry and surrounding areas. • Finalize land demarcation and registry of forested areas. • Complete the suckering, renewal or afforestation of 
approximately 50,000 hectares per year, with a primary focus on natural species and support for high quality forest research when rehabilitating territory. 
• Protect water basins against erosion and siltation of dams. • Rehabilitate ecosystems and protect and promote natural 
areas as well as endangered species as resources. </t>
  </si>
  <si>
    <t>26% of overall targeted GHG reduction between 2020 and 2030 (-32 % by 2030)</t>
  </si>
  <si>
    <t>5% of overall targeted GHG reduction between 2020 and 2030 (-32 % by 2030)</t>
  </si>
  <si>
    <t xml:space="preserve"> NBSAP-P.70: By 2030, Research and implement measures and strategies to strengthen local-level biodiversity resilience to desertification.
 NBSAP-P.71: By 2025, investigate and monitor all the effects of climate change on biodiversity and ecosystem services</t>
  </si>
  <si>
    <t>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
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
—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
— Establishing, in partnership with RSCN, a specialized unit that is responsible for implementing the adaptation strategies, liaising with different national stakeholders and formulating a range of ecosystem adaptation projects within Jordan (time frame : by 2025);
— Undertaking more research on vulnerable ecosystems and communities and appropriate adaptation priorities, in addition to identifying indicator species and carry out monitoring programs on climate change impact on key species. (time frame : by 2030);
— Enhancing the resilience of local communities impacted by climate change in areas within and surrounding PAs (including community-based pilot adaptation projects) (time frame : by 2030).
—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
The total cost of the above activities is USD 3,000,000. The information of portions of fund secures by involved sector’s own means versus amount of funds not secured is not available at the time of preparing this document and could be obtained from the activesaid sector.
— Crop diversification: including integration of different varieties of crops, both food and cash crops which will increase farmers’ income;
—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t>
  </si>
  <si>
    <t>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
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
—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
— Establishing, in partnership with RSCN, a specialized unit that is responsible for implementing the adaptation strategies, liaising with different national stakeholders and formulating a range of ecosystem adaptation projects within Jordan (time frame : by 2025);
— Undertaking more research on vulnerable ecosystems and communities and appropriate adaptation priorities, in addition to identifying indicator species and carry out monitoring programs on climate change impact on key species. (time frame : by 2030);
— Enhancing the resilience of local communities impacted by climate change in areas within and surrounding PAs (including community-based pilot adaptation projects) (time frame : by 2030).
—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
The total cost of the above activities is USD 3,000,000. The information of portions of fund secures by involved sector’s own means versus amount of funds not secured is not available at the time of preparing this document and could be obtained from the activesaid sector.
[Adaptation strategies in the agricultural sector include]
— Crop diversification: including integration of different varieties of crops, both food and cash crops which will increase farmers’ income;
—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t>
  </si>
  <si>
    <t>Morocco's target is to reduce its overall GHG emissions by 32% by 2030. 26% of these emission reductions will come from the agriculture sector, and 5% from the forest sector.</t>
  </si>
  <si>
    <t>Morocco's vision for adaptation involves several quantified sectorial goals for 2020 and 2030.
The goals for 2020:
• Substitution of water withdrawal (85 million m3/year) from overexploited aquifers by withdrawals from surface water;
• Increase the current area under drip irrigation from 154,000 ha at present to 555,000 ha;
• Reconstitution of forests on 200,000 ha.
The goals for 2030:
• Desalination of 285 million m3/year of drinking water supply to several cities and centres;
• Reuse 325 million m3/year of treated wastewater;
• Construction of 38 new dams and development of an inventory and the treatment of all sites vulnerable to flooding;
• Connection to the sewerage system and wastewater treatment to reach 100 % of urban areas;
• Wastewater treatment to reach 100 %;
• Savings of 2.4 billion m3/year of irrigation water;
• Improved performance of drinking and industrial water systems, with a target of80 % as a national average, in order to save 120 million m3/year of drinking water;
• Artificial refill of aquifers with a potential of 180 million m3;
• Massive conversion of surface and sprinkler irrigation to drip irrigation over an area of 920,000 ha, resulting in water savings of 2.4 billion m3/year;
• Conversion of nearly one million hectares of grain crops to fruit plantations that are likely to protect agricultural areas from all forms of erosion, especially water erosion;
• Treatment to prevent erosion of 1.5 million ha over a period of 20 years (75,000 ha /year), in 22 priority watersheds.</t>
  </si>
  <si>
    <t>Morocco's vision for adaptation involves several quantified sectorial goals for 2020 and 2030 [only goals directly related to ecosystems have been kept here]
The goals for 2020:
• Reconstitution of forests on 200,000 ha.
The goals for 2030:
• Construction of 38 new dams and development of an inventory and the treatment of all sites vulnerable to flooding;
• Connection to the sewerage system and wastewater treatment to reach 100 % of urban areas;
• Wastewater treatment to reach 100 %;
• Savings of 2.4 billion m3/year of irrigation water;
• Conversion of nearly one million hectares of grain crops to fruit plantations that are likely to protect agricultural areas from all forms of erosion, especially water erosion;
• Treatment to prevent erosion of 1.5 million ha over a period of 20 years (75,000 ha /year), in 22 priority watersheds.</t>
  </si>
  <si>
    <t xml:space="preserve">[Mitigation actions include]
• Improve the promotion of natural resources and their sustainable management.
• Develop forestry and surrounding areas. 
• Finalize land demarcation and registry of forested areas. 
• Complete the suckering, renewal or afforestation of approximately 50,000 hectares per year, with a primary focus on natural species and support for high quality forest research when rehabilitating territory. 
• Protect water basins against erosion and siltation of dams. 
• Rehabilitate ecosystems and protect and promote natural areas as well as endangered species as resources. </t>
  </si>
  <si>
    <t xml:space="preserve">Afforesting 25% of barren forest areas in the rain belt areas on which the rate of precipitation exceeds 300 mm. </t>
  </si>
  <si>
    <t>Target year</t>
  </si>
  <si>
    <t>Text of national target 15 (Edited)</t>
  </si>
  <si>
    <t>Text of national target 5 (Edited)</t>
  </si>
  <si>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</si>
  <si>
    <t xml:space="preserve"> NBSAP-P.70: By 2030, Research and implement measures and strategies to strengthen local-level biodiversity resilience to desertification.
 NBSAP-P.71: By 2025, investigate and monitor all the effects of climate change on biodiversity and ecosystem services</t>
  </si>
  <si>
    <t xml:space="preserve">5th NR- p.58-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</si>
  <si>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</si>
  <si>
    <t>p 189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prioridade media</t>
  </si>
  <si>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</si>
  <si>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</si>
  <si>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</si>
  <si>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</si>
  <si>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Objetivo estratégico D. Ampliar los beneficios de la biodiversidad y los bienes y servicios ecosistémicos para todos los
habitantes</t>
  </si>
  <si>
    <t>pag. 60 ----&gt; contribucion a las metas</t>
  </si>
  <si>
    <t>NBSAP-P: 23 &amp; 30
Goal 9 Taking into account grazing capacity and livestock population size, utilize legislative and economic leverages to reduce pasture degradation by up to 70% and increase quality of existing pastures. 
Goal 10 Modernize industrial farming techniques and activities to meet requirements for food safety and conservation of biodiversity in the environment’s agricultural ecosystem.</t>
  </si>
  <si>
    <t>Resultado 16. Ecuador recupera hábitats degradados con
el fin de mitigar el cambio climático, y proporcionar bienes y
servicios ecosistémicos esenciales para el cambio de la matriz
productiva y el bienestar de la población.</t>
  </si>
  <si>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</si>
  <si>
    <t>cobertura florestal incrementada?
La Agenda 2025 establece el incremento anual de la cobertura forestal mediante un árbol por cada
boliviana y boliviano, en alusión a la deforestación que se constituye en uno de los mayores retos para
la conservación de la diversidad biológica del país.</t>
  </si>
  <si>
    <t>b) Internalización de costos de servicios ambientales e incentivos para el uso sostenible de la biodiversidad
Costa Rica reconoce y ha desarrollado mecanismos concretos para favorecer e incentivar los siguientes tipos de
servicios ambientales65:
1) Mitigación de emisiones de gases efecto invernadero (reducción, absorción, fijación y almacenamiento de carbono).
2) Protección de agua para uso urbano rural o hidroeléctrico.
3) Protección de la biodiversidad para conservación (uso sostenible científico, farmacéutico, investigación,
mejoramiento genético, protección de ecosistemas y formas de vida).
4) Belleza escénica.
El país ha realizado una tarea destacada en cuantificar, incentivar y promover el Pago por Servicios Ambientales
(PSA) como mecanismo para favorecer la sostenibilidad de los mismos. Parte de su identidad se vincula con la
conservación y reforestación, que las diferentes políticas, leyes e instituciones se han encargado de visibilizar y
hacer realidad. Existen estudios econométricos que evidencian que la deforestación se ha visto reducida por la
penetración del PSA (IICA, 2010), cuyo aporte se debe analizar dentro de un contexto de orientación de política
para favorecer la reforestación y prevenir mayor deforestación que partió desde los años 70 aproximadamente y
se concretó bajo la normativa en un marco legal que prohíbe el cambio de uso de suelos (por la Ley Forestal).</t>
  </si>
  <si>
    <t>pag 96 of the CBD Fifth National Report - El Salvador (Spanish version) and forth
and
pag 4 of the CBD Strategy and Action Plan - El Salvador (Spanish version) and forth</t>
  </si>
  <si>
    <t>pag 131 of the Implementación del Convenio sobre la Diversidad Biológica
en Guatemala: logros y oportunidades document</t>
  </si>
  <si>
    <t>pag 24 of the CBD Strategy and Action Plan - Guyana (English version) and forth</t>
  </si>
  <si>
    <t>En este orden de ideas, en Venezuela mediante la operatividad de la Empresa Nacional Forestal (ENAFOR), se aplica un nuevo modelo de manejo forestal a nivel de unidades de aprovechamiento; siendo innovador en comparación con los métodos convencionales enfocados a lo comercial. Considera a escala de paisaje un enfoque ecosistémico, integrando todas las variables e interrelaciones en el sistema natural; considera además un enfoque de uso múltiple, permitiendo diversificar los usos de los bienes que provee el bosque, atenuando la presión sobre un solo tipo de bien natural. A escala de unidad de manejo, la metodología de aprovechamiento forestal, tiende a sustituirse por la metodología de extracción de impacto reducido (OIMT, 2004).</t>
  </si>
  <si>
    <t>pag. 79 and forth</t>
  </si>
  <si>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</si>
  <si>
    <t>Not in the report, but information might be avaliable ---&gt; pag 89 ---&gt; El MAE lidera las acciones de reducción de emisiones en edificios públicos. Emprendió el proyecto Carbono Neutro desde el mes de Mayo de 2010; la experiencia ha permitido cuantificar las emisiones de gases de efecto invernadero (GEI) que se generan en su edificio central (Quito) como producto de sus actividades como el consumo energético, el uso de automóviles, transporte de funcionarios, vuelos nacionalese internacionales, generación de residuos. El objetivo es alcanzar “cero emisiones de Gases de efecto Invernadero” por lo tanto, se establecieron estrategias de reducción
como: políticas de uso compartido de vehículos, optimización de rutas de recorrido de trabajadores, separación de residuos,
mejora del sistema eléctrico del edificio, instalación de paneles solares, entre otros. A partir de esta experiencia, el programa se ha extendido hacia otras empresas; así, en
septiembre del 2011, las empresas AGRITOP y AIFA dedicadas a la fumigación aérea, junto con el Ministerio del Ambientese convirtieron en las primeras en recibir la certificación carbono neutro por parte de la Universidad EARTH.</t>
  </si>
  <si>
    <t>37% of the current forests of Belize are classified as primary – the most biodiverse and carbon-dense category of forest (UNEP, 2013). Deforestation accounted for the largest emission sources in Belize in the reference years (1994, 1997 and 2000), with Green House Gas (GHG) emissions increasing from 5,117 in 1994 to 7,253 (in 1997) to 9,088 Kt CO2e (in 2000) - a trend that is expected to continue (UNEP, 2013).
 Belize is able to play a mitigation function, and is estimated to be in a position to contribute over 1 million tons in CO2 emissions reductions per year if deforestation is avoided completely (UNEP, 2013).</t>
  </si>
  <si>
    <t>Blaise Bodin:
Objective for the country to become carbon neutral by 2012</t>
  </si>
  <si>
    <t>pag 96 of the CBD Fifth National Report - El Salvador (Spanish version) and forth 
and
pag 4 of the CBD Strategy and Action Plan - El Salvador (Spanish version) and forth</t>
  </si>
  <si>
    <t>pag 79 and forth</t>
  </si>
  <si>
    <t xml:space="preserve">NBSAP - P. 73: There are huge efforts of forest ecosystem restoration through mangrove and other tree planting exercises. Increasing forest cover, designation of wetlands and restoration of degraded areas are the major activities required to realize this target. Protected Areas diversification which is underway in the Gambia will be strengthened to establish more Protected Areas, expand existing protected areas and ensure restoration of biodiversity within and outside biodiversity hotspots. Moreover, climate change mitigation activities in the NAPA and NAMA documents are being implemented. To optimized the use of runoff water through soil and water conservation techniques and to promote wetland engineering in communities prone to seasonal flooding. </t>
  </si>
  <si>
    <t>pag 52</t>
  </si>
  <si>
    <t xml:space="preserve">
NBSAP- P.90:
Objective 16: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-D’ici à 2020, la résilience des écosystèmes et la contribution de la diversité
biologique aux stocks de carbone auront été améliorées
</t>
  </si>
  <si>
    <t xml:space="preserve">
NBSAP-P25:
- Conserver les espaces forestiers fragiles aux fins des services écosystémiques en particulier la séquestration de carbone, le  PFNL, etc.
- Inclure la valeur des services fournis par les écosystèmes dans les outils de gestion et conservation des habitats naturels</t>
  </si>
  <si>
    <t xml:space="preserve">
NBSAP-P.25: Restaurer les habitats dégradés à travers le reboisement et l’enrichissement en intégrant les espèces autochtones.
NR- P.86: Plusieurs actions sont menées par le gouvernement du Bénin pour atteindre l’objectif 15 d’Aïchi. C’est dans ce cadre que depuis 2009, une attention particulière est mise sur les activités de restauration et de reboisement dans le cadre de plusieurs projets/programmes (PAGEFCOM, PAMF, ProCGRN, PGFTR, MRB, PBF II, etc.) en vue d’accroître le couvert forestier. Le Bénin à travers l’appuie du PNUD a lancé récemment un projet dénommé 10 millions d’âmes, 10 millions d’arbres qui se déroulera sur toute l’étendue du territoire nationale dont le but étant d’atténuer les effets des changements climatiques mais aussi de lutter contre la désertification tout en protégeant la biodiversité de protéger la biodiversité... 
NR- P.28: Le Gouvernement avait aussi envisagé de mettre en œuvre un programme national de reboisement qui
tiendrait compte des différentes zones agroécologiques du pays
NR- P.30: Programme Spécial de Reboisement et de Restauration des Terres (PSRRT)</t>
  </si>
  <si>
    <t xml:space="preserve">
NBSAP-P.144
National Goal 15: 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</si>
  <si>
    <t xml:space="preserve">
NBSAP-P.145: 
- To review and to compile information on the possible contribution of the principal ecosystems in the retention and in the storage of carbon to increase the participation of the biological diversity and the resilience of the ecosystems in the storage of carbon
- To promote conservation actions and the sustainable use of the biodiversity which contribute actively to the mitigation and the adaptation to the climate change
-To assure that mitigation actions and adaptation to the climate change consider the requirements of biodiversity conservation appropriately.
- To continue and to improve the measuring process of the forest systems roles as drains of carbon and in the adaptation to the climate change
</t>
  </si>
  <si>
    <t xml:space="preserve">
NBSAP-P.109 - Nationlal Priority: To restore areas and degraded ecosystems and improve the productivity of the lands and their durability through the fight against the burning, the coastal erosion and water, the salinization and acidification of the soils, the management of the superficial and underground water
NBSAP-P.145: 
- To maintain or to restore the species adaptation capacity and the capacity of keyhabitat recovery which work as drains or reservoirs of carbon
NBSAP-P.134...</t>
  </si>
  <si>
    <t xml:space="preserve">
NBSAP-P.96:
- Mener des études sur les capacités de séquestration du carbone des écosystèmes forestiers du pays;
- Mener des études sur la vulnérabilité des écosystèmes et des espèces aux changements climatiques
- Prendre en compte les changements climatiques dans tous les projets et programme dans les Aires protégées. 
-Elaborer des programmes de conservation d'espèces endémiques, rares ou
menacées de la diversité biologique </t>
  </si>
  <si>
    <t xml:space="preserve">
NBSAP-P.96: Restaurer par le reboisement des zones dégradées </t>
  </si>
  <si>
    <t xml:space="preserve">
NBSAP-P.44: Develop a national strategy for the conservation of agricultural biodiversity and promotion of agroforestry.
NBSAP-P.27: Guinea Current Large Marine Ecosystem (GCLME): it's a project in collaboration with UNIDO for the implementation of pilot phase of mangrove reforestation and Nypa palm utilization method in the Delta area of Nigeria. It’s aimed at conserving biodiversity, improving the socio-economic life of the coastal communities. 
</t>
  </si>
  <si>
    <t xml:space="preserve">
NBSAP-p.43:
 - Establish a National Forest and Vegetation Recovery Programme, including mangroves and other coastal areas. 
- Review and strengthen the National Forest Policy, to improve production
efficiency whilst promoting conservation of highbiodiversity habitats and restoration of degraded areas. 
- Establish a National Rivers and Wetlands Rehabilitation Programme, linked to reduction of
pollutants in Target 8. 
- Support the implementation of the Great Green Wall Sahara Programme. 
- Promote alternative livelihoods for communities in protected areas and ecosystem restoration areas.
</t>
  </si>
  <si>
    <t xml:space="preserve">
NBSAP-p.41: Figure 4 : Principales zones potentielles de conservation de la biodiversitéau Togo
Objectif 16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</si>
  <si>
    <t xml:space="preserve">
NBSAP-P. 38: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</si>
  <si>
    <t xml:space="preserve">
NR-p.91: 
- L’extension du réseau national d’aires protégées qui est passé de 43 sites à 53 sites touchant les grands groupes
d’écosystèmes.
- La promotion de la création des forêts communautaires et privées. 
</t>
  </si>
  <si>
    <t xml:space="preserve">
NR-P.10: Pour l’année 2014, le programme national de reboisement porte sur une superficie de 1000ha dont la réalisation se fera à travers le programme gouvernemental du Ministère de l’Environnement, des Eaux et Forêts ; 
NR-P.45: La restauration par reboisement et mise en défens de 120 ha de mangrove. 
NR-P.64: 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NR-P.72: Des actions de reboisement ont été réalisée au niveau de la zone côtière (baie de Sangaréah, béreyiré ) et dans certaines communautés rurales de développement (mise en
place des forêts communautaires
</t>
  </si>
  <si>
    <t xml:space="preserve">
NR-P.43: Build climate resilience ecosystems through effective management of protected areas
network;</t>
  </si>
  <si>
    <t xml:space="preserve">
NR-p.32: According to the FDA, the 2006 Forestry Reformed Law apportioned 1.5 million hectares of forest land for conservation. Judging by the notion that Liberia still contains 43% of the Upper Guinean Forest Ecosystem in humid West Africa, about 30% of the forest land remaining in the country is placed in protected area management. FDA emphasized that having 30% of forest land area in protection is a plus because the CBD only requires 10%; although forest cover removal has out-weighed reforestation programme. Subsistent agriculture which is estimated to be practiced by 70% of the population of the country consumes nearly 3.9 million ha. With unsustainable logging practices and mining activities on the increase, the conduct of a new inventory of the forest to determine the actual forest cover remaining in the country is a necessity. </t>
  </si>
  <si>
    <t xml:space="preserve">
NR-P.96:  Rivers management and rehabilitation
NR-P.102:  Action plan for conservation and restoration of freshwater ecosystems (In Preparation) 
NR-P.140: In total, between 1990 and 2010 Israel gained 16.7% of its forest cover or around 22,000 ha. This is due to its renowned afforestation program. Israel’s forests host several terrestrial endemic species, and they contain 5 million metric tons of carbon in living forest biomass.
• The 1926 Forestry Ordinance remains the basis for current formal afforestation policy in Israel. Although the act is still in force, afforestation policy is largely implemented under the guidelines included in the 1995 National Master Plan for Forests and Afforestation , under which about 1,620 km2 of forest and open spaces is protected
</t>
  </si>
  <si>
    <t xml:space="preserve">
List on NR- P57.</t>
  </si>
  <si>
    <t xml:space="preserve">
List on NR- P57.
NR-P.60:  Réalisation de 8063,55 ha de Régénération Naturelle Assistée (RNA) en 2011, 1918,25 ha en 2012, 4500ha en 2013; Récupération de 4148, 6 ha de terres dégradées en 2011 et 4180 ha en 2012; Réalisation de 8 espaces de conservations en 2013 (p58); Récupération de 2 770 ha de parcours pastoral dégradés.
NR-P.65:  Prise en compte de la dimension de l’environnement et de la biodiversité dans les projets du secteur de l’énergie (restauration de forêts classées et stabilisation de berges des cours d’eaux)
NR-P.69: la réalisation de 689,25 ha de mise en défens dans les régions du Sahel, du Nord Centre Nord et du Plateau Central
NR-P.73: Réalisation de 1 220 ha de sous-solage dans le cadre de la récupération des terres dégradées en 2013
NR-P.88: la production et mise en terre environs 35 822 107 plants. </t>
  </si>
  <si>
    <t xml:space="preserve">
5 NR- P.40 - Plusieurs actions de conservation et de restauration des écosystèmes ont été menées. Il s’agit de :
*  l’institutionnalisation de la fête de l’arbre le jour de la commémoration de l’indépendance nationale (3 août) en vue entre autres d’accroître le couvert forestier;
* le renforcement des puits de carbone à travers le reboisement, la régénération naturelle assistée et l’aménagement des forêts ainsi que les parcs agroforestiers pour améliorer la résilience des écosystèmes;
* la mise en œuvre du projet ‘’Biocarbone’’ avec une plantation de 8 000 ha de Acacia senegal et Acacia seyal;
*  la récupération des terres dégradées dans les zones agro pastorales;</t>
  </si>
  <si>
    <t xml:space="preserve">
NBSAP-P.40: 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NR-P.42: Le Plan Forestier National (PFN)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t>
  </si>
  <si>
    <t xml:space="preserve">
**NR- P.91**</t>
  </si>
  <si>
    <t xml:space="preserve">
NR-P.83: Dans le secteur forestier les actions ont porté entre autres sur la production de plants (12 432 500 de plants par exemple pour l’année 2013), le reboisement avec des plantations massives, des plantations linéaires, des Plantations conservatoires, des mises en défens, de la Régénération naturelle assistée, de la Réhabilitation de mangrove et de palmeraie. Des actions de lutte contre l’érosion et de récupération des terres salées ont été entreprises. L’aménagement participatif des forêts communautaires a permis de réduire les coupes abusives au profit de l’exploitation contrôlée. L’Agence Nationale de la Grande Muraille Verte (ANGMV) a aussi entrepris d’énormes efforts en matière de restauration des écosystèmes avec la plantation de 20.600 ha et la mise en défens de 10.000 ha. Globalement, les progrès réalisés en matière de restauration et de préservation desécosystèmes forestiers ont permis d’améliorer le ratio reboisement sur déboisement qui est passé de 0,95 en 2010 à 0,99 en 2011 (ANDS, 2012).
**NR- P.91**</t>
  </si>
  <si>
    <t xml:space="preserve">
Gola Forest Conservation Project;
NR-P.69: The Conservation Society of Sierra Leone (CSSL) is a national, non-profit, non-governmental organization. It is a membership organization for a wider community with interest in promoting biodiversity protection and conservation in Sierra Leone. The membership is open to every individual from every background both scientific and non-scientific backgrounds. </t>
  </si>
  <si>
    <t xml:space="preserve">
NR-p.93:The status of vegetation restoration programmes in Sierra Leone 
NR-p.94: Forest vegetation restoration through fuel wood establishment 
NR-p.95: Mangrove forest restoration 
NR-p.95: Restoration of land degraded by mining</t>
  </si>
  <si>
    <t xml:space="preserve">
NR-P.76:  Le Programme National de Reboisement, a donc pour objectif principal, de contribuer à la restauration du couvert forestier national et de gérer les reboisements de manière durable.
NBSAP-P.74: La restauration des sites après la fermeture des exploitations minières demeure une préoccupation au regard de ce qu’il a été donné de constater sur le territoire.
En effet, bien que la législation prescrive de restaurer après fermeture des mines et
puits, ceux-ci restent en l’état. Les mesures préconisées sont : 
(i) le renforcement des mesures d’application de la réglementation, 
(ii) la diffusion de lignes directrices en la matière,
(iii) la formation des ressources humaines y compris celles chargées du contrôle
NBSAP-P.76: Les écosystèmes d’intérêt économique sont restaurés
Pour pérenniser les filières qui dépendent des écosystèmes, il faut : (i) identifier les écosystèmes qui génèrent des ressources et des emplois, puis, (ii) les restaurer</t>
  </si>
  <si>
    <t xml:space="preserve">
NBSAP- P.118: Promoting natural regeneration and regeneration with autochthonous species of forest trees</t>
  </si>
  <si>
    <t xml:space="preserve">
NBSAP-P.119: Conduct forestation of degraded forest ecosystems with indigenousspecies;
Establish cooperation and synergy among the relevant institutions
</t>
  </si>
  <si>
    <t xml:space="preserve">
By 2030, rehabilitation plans are implemented in at least 20% of degraded sites that will safeguard the sustained delivery of ecosystem services. </t>
  </si>
  <si>
    <t xml:space="preserve">
NBSAP-P.65: By 2020, a national strategy for forest conservation and sustainable use is developed and effective</t>
  </si>
  <si>
    <t xml:space="preserve">
NBSAP-P.36: Enhance climate change resilience within terrestrial ecosystems and their services and enhance the resilience of coastal and marine ecosystems and associated vulnerable species;
•Support restoration of degraded forests, using diverse conservation areas governance forms, and building on the special conservation areas approach
• NR-P.40: The National Environmental Compensation Program: the Badia Restoration Program</t>
  </si>
  <si>
    <t xml:space="preserve">
NR-P 77: In May 2013, MEPP signed the Joint Declaration of Intent for the European Green Belt, thus sharing joint view of the importance of the transboundary cooperation for the preservation, restoration and sustainable development of the European Green Belt. </t>
  </si>
  <si>
    <t xml:space="preserve">
NBSAP- P.21: En Matiere de lutte contre l'ensablememnt, on peut souligner la realisation de 19 091 ha, cumul des activites des differentes intervention menees y compris la compagne de reboisement de 2012
NBSAP- P.31:Une strategie de restauration a ete elaboree mais so plan d'action n'a pas etemis en oeuvre  </t>
  </si>
  <si>
    <t xml:space="preserve">
NR-P.7: By 2020, vulnerable ecosystems that provide essential services are safeguarded, with at least 15% of degraded ecosystems restored, while 20% of the habitats of European Community Importance in the Maltese territory have a favourable or improved conservation status</t>
  </si>
  <si>
    <t xml:space="preserve">
NR-p. 14: Their targets are not specific and are developed based on themes. Here are some targets that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</si>
  <si>
    <t xml:space="preserve">
NR-P.12: the over-all arching by 2020 will put in place measures so that biodiversity is maintained and enhanced, further degradation has to be halted and where possible, restoration should be enforced to help and deliver more resilient and coherent ecological networks, healthy and well-functioning ecosystems, which can deliver multiple benefits for wildlife and people, and should include:
* Better habitats for wildlife and for priority habitats in favourable or recovering condition for at least 50 per cent of PAs
NR-P.17: Some of the most significant LIFE projects focused on the improvement of conservation and restoration of the N2K areas for ecosystems, habitats and species. Currently the Environment Department has paid significant attention on designation of Special Areas of Conservation (SAC) and general protection of the habitats and wildlife (flora and fauna) and, conservation of the sites integrity. Specific attention has been given to wetlands coastal habitats and rivers.
Current funds (horizon 2014-2020) will contribute significantly to the establishment of more - cohesive - natural landscapes, and to prevent further fragmentation and natural destruction of natural habitats. Landscape elements have been incorporated in the Rural Development Plan (2014-2020) for protection, conservation and rehabilitation.</t>
  </si>
  <si>
    <t xml:space="preserve">
NR-P.22: Afin de soutenir cet effort de reboisement et de sauvegarde, environ 103 pépinières forestières et pastorales ont été installées produisant en moyenne 34 millions de plants/an. 30 arboretums totalisant 320000 arbres appartenant à 208 espèces ont été installés dans différentes régions de  a Tunisie
NR-P.67: Les deux stratégies de développement sylvo pastoral (1991-2000 et 2001-2010) ont
contribué à l’augmentation du taux de couverture végétale par des actions de reboisement avec un rythme annuel moyen d’environ 20000 ha. 
</t>
  </si>
  <si>
    <t xml:space="preserve">
The comprehensive, adequate and representative reserve system established in Regional Forest Agreement regions resulted in the placement into conservation the following: 104 399 hectares in Western Australia (10 per cent increase); 754 312 hectares in Victoria (36 per cent increase); 1 836 044 hectares (85 per cent increase) in New South Wales; and 630 400 hectares (27 per cent increase) in Tasmania.
NR- p.24: Case study: Whole-of-paddock rehabilitation, New South Wales and Western  Australia 
Australian Government funding supported Greening Australia to work with farmers, catchment management authorities and NRM groups in central-western New South Wales and south-west Western Australia to deliver whole-of-paddock rehabilitation over three years. 
Greening Australia engaged farmers to temporarily volunteer a paddock of at least 100 000 square metres to be planted with native trees and shrubs, with the aim of returning around 25 per cent of the paddock to deep-rooted perennial vegetation. The vegetated paddocks are then rested from production for five years and farmers receive stewardship payments to offset some of their production loss. Stock are permitted to be re-introduced after five years under a rotational grazing system after the plantings have established. 
This whole-of-paddock rehabilitation project was a practical, cost-effective way of integrating conservation and production goals. Key benefits included increased biodiversity, carbon sequestration, return of ground cover and productive native perennial pastures and shrubs, and salinity and erosion control with improved grazing productivity of paddocks. These outcomes will have long-lasting impacts on the environment and agricultural production. Re-establishing connectivity and restoring landscape biodiversity will help mitigate the effects of climate change and help contain pests and diseases as well as providing shelter and shade for livestock and improving soil condition.</t>
  </si>
  <si>
    <t xml:space="preserve">
NR- p.18: Australia has 65 Ramsar wetlands and more than 900 nationally important wetlands.  In 2012, the Australian Government designated Australia’s 65th Ramsar site, Piccaninnie Ponds Karst Wetlands in South Australia. Historically, drainage and land clearance for agriculture significantly diminished the site’s natural values. Following Ramsar listing and extensive site restoration efforts by the South Australian Government, it is now an impressive example of a natural karst system and supports numerous freshwater plants and animals, including some listed as nationally or internationally threatened. 
NR- p.40&amp;66: The Regional Natural Resource Management Planning for Climate Change Fund was established to help regional communities plan for climate change impacts on the land and identify priority areas for carbon abatement, green corridors and environmental restoration in the landscape. This information will support regional NRM organisations in planning for carbon abatement, manage the impacts of climate change, and prioritise environmental restoration activities.
NR- p.63: The Australian Government launched the National Wildlife Corridors  Plan to guide efforts to link national parks and reserves with well-managed private land. The Plan supports the conservation of biodiversity by informing the retention, restoration and management of ecological connections across the Australian landscape
NR- p.66: The Australian Government has announced that Twenty Million Trees will be planted by 2020 in a programme that will commence mid-2014. 
NR- p.81: The Australian Seed Bank Partnership is working to share information through the Atlas of Living Australia on methods for germinating and re-establishing native flora to support the restoration industry.</t>
  </si>
  <si>
    <t xml:space="preserve">
NR-P.84: Establish methods and standard values to serve as baselines designed to understand the status of conservation and restoration of ecosystems, as well as sorting out their current status, by the midterm review of the Aichi Biodiversity Targets that arescheduled for 2014 or early in 2015 (MOE, MAFF). 
NR-P.84:Promote measures for the conservation and restoration of ecosystems, thereby advancing measures that will contribute to climate change mitigation and adaptation (MOE, MAFF, MLIT). </t>
  </si>
  <si>
    <t xml:space="preserve">
NR-P.84:Initiatives for nature restoration, appropriate  forest operations, and the establishment of green corridors are being advanced nationwide, as evidenced by the initiatives for nature restoration based on the Law for the Promotion of Nature Restoration having been carried out in 24 locations  over 480,000 ha. The expectation is that these initiatives will contribute to climate change mitigation and adaptation.
The number of locations in which initiatives are being carried out via the Law for the Promotion of Nature Restoration, and the area for Protected Forests and Green Corridors on  National Forest are trending upwards. What is more, sink measures are also steadily being advanced through the promotion of efforts like forest maintenance and urban greening. However, consideration must continue to be given to methods to determine the ecosystem conservation and restoration status.</t>
  </si>
  <si>
    <t xml:space="preserve">
NBSAP-P.99: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</si>
  <si>
    <t xml:space="preserve">
NBSAP-P.48: Community forestry has had some success in Myanmar but the model has focused on small areas and is cumbersome to negotiate. Progress has been slow: approximately 8o,ooo hectares of forest have been brought under formal community management since the CFI were issued in 1995. The National Forestry Master Plan sets a target of 98o,ooo hectares of CF established by 2030.</t>
  </si>
  <si>
    <t xml:space="preserve">
NBSAP-P98: A large-scale forest restoration initiative would face multiple challenges. As the lead agency, the FD may need presidential-level authority to overcome resistance from vested interests.
It needs to expand its role in forest restoration toward the provision of technical support for community participation, and take advantage of initiatives such as the draft national land use policy, district-levelland use planning, and REDD+, all of which the Ministry of Environmental Conservation and Forestry  is leading.
The social, political, and technical requirements of large-scale forest restoration are complex and the Global Partnership on Forest and Landscape Restoration {GPFLR), which works to restore degraded forests in ways that deliver benefits to local communities and to nature, can assist. G PFLR is designed to help countries meet their international commitments on forests, including Aichi Target 15, REDD+ goals, and the Rio+20 land degradation neutral goal. It has reached 59 million hectares of the Bonn Challenge target of restoring 150 million hectares of degraded forest by 2020.</t>
  </si>
  <si>
    <t xml:space="preserve">
(NR-P.60)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(NR-P.60)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</si>
  <si>
    <t xml:space="preserve">
NBSAP-P.46:
(i) Implementation of participatory forest management programmes
     (a) Community Forestry
     (b) Collaborative Forest Management
     (c) Leasehold Forestry 
(ii)Establishment of Protection Forests 
NR-P.21: Seven forests, covering a total area of 133,579 hactare, have been declared as protected forests since 2010. Some of those forests are important wildlife corridors, and the rest are rich in biodiversity (Table 3). The main objectives of protection forests are to enhance biodiversity through rehabilitation of habitats of rare and important species, biological corridors, and wetlands, and enhance local livelihoods through implementation of income generating activities (DOF, 2013a).</t>
  </si>
  <si>
    <t xml:space="preserve">
NBSAP-P.48: Reforestation of deforested sites and enrichment plantation in degraded forest patches are regular activities implemented by most of the district forest offices and community forest user groups. For example, 2,986 hectares of new plantations were established, and 814 hectares of encroached forestland was reclaimed and reforested in the year 2011/2012. Most district forest offices distribute seedlings for institutional and private plantations during the monsoon season. 
NR-P. 38:The strategy for management of wetland biodiversity has recommended the development of a national program for conservation and wise use of wetlands. Some of the time-bound priority actions include:
(i) carrying out inventory of all wetlands by 2017 to know their status and potentials, 
(ii) rehabilitation of at least seven major degraded wetlands within the next five years, and 
(iii) promoting community based wetlands management. The strategy have also proposed the development of criteria and indicators for Sustainable Forest Management and management plan of protected areas and all forest regime
</t>
  </si>
  <si>
    <t xml:space="preserve">
NBSAP-P.xx: Target: By 2020, the status of biodiversity has improved through the safeguarding of ecosystems, species and genetic diversity in the 30 declared protected areas. </t>
  </si>
  <si>
    <t xml:space="preserve">
NBSAP-P.xx: Effectively manage representative samples of Timor-Leste’s biodiversity in identified protected areas and create natural conservation zones to protect specific biodiversity and ecosystems
NR-P.12: Important forest areas for biodiversity conservation </t>
  </si>
  <si>
    <t xml:space="preserve">
NBSAP-P.97: Reforestation Policy and National Forest Policy 
NBSAP-P.102: Goal 4. 
- Ensure that protected areas play a role in mitigating climate change
- Ensure that 30 percent of the nation’s sequestered carbon found in living terrestrial vegetation is captured inside protected areas; and for mangrove forests, with 80 percent to be protected in protected areas.
</t>
  </si>
  <si>
    <t xml:space="preserve">
NR- P.52: National target 6: By 2020, ecosystems and their functioning have been restored  and preserved  benefiting local communities particularly women, old person, children and  indigenous people. </t>
  </si>
  <si>
    <t xml:space="preserve">
NR- P.26: There has been a wide range of efforts by the government to implement  conservation and community development projects with support from the NGOs and donor communities to reduce poverty in and around protected areas through community projects. Biodiversity is also promoted through development of eco-tourism and incorporation of tourism infrastructure for protected areas in the  national tourism development plan. Some relevant initiatives include guidelines for engagement of private sector in implementation of Clean Development Mechanism, particularly in energy efficiency, and reforestation and afforestation is being promoted. 
NR- P.34: The purpose of the Community Forestry program is to strengthen sustainable forest management by improving the livelihoods of local communities. Community Forestry has been established in the country since 1991 and as of 2012 there were 453 community forests with a collective area of 399,880 ha. Community Forestry has become a national strategy for poverty alleviation and sustained livelihoods. There are eleven steps required to complete this process, including the development of a management committee and by laws, the demarcation of community forest boundaries, and the establishment of a management plan approved by the Forestry Administration. </t>
  </si>
  <si>
    <t xml:space="preserve">
NR-P.50: Establishing funds for compensating forest ecological benefits. In 2004 China established national funds for compensation of forest ecological benefits, which subsidize plantation, nurturing, conservation and management of national-level public benefits forests, with funding allocated from the central government budgets. Among them, a subsidy of 75 yuan per hectare is provided annually for state-owned national-level public benefits forests, and 225 yuan per hectare annually for national-level public benefits forests owned collectively and privately. Currently the areas that have received such subsidies have reached 924,000 km2. In 2013 the central government provided a total of 14.9 billion yuan RMB for compensation for ecological benefits of forests. Local governments also compensated for local public benefits forests. </t>
  </si>
  <si>
    <t xml:space="preserve">
NR-P.43: Key ecological projects continued to be implemented, such as natural forest resources protection, returning cultivated land to forest, construction of forest belts in north, northeast and northwest China as well as in the Yangtse River Basin, control of origins of sandstorms affecting Beijing and Tianjin and control of desertification in rocky Karst areas. Since 2001, ecological conditions of key project regions have improved obviously. Forest resources across the country have increased constantly, with reforestation area increased by 482,000 km2 and forest coverage area increased by 23.0% over that of a decade ago. The current forest coverage rate has reached 20.4%, 3.8% increase over that of a decade ago. The forest reserves have reached 3.72 billion m3 , 21.8% increase over that of a decade ago. These projects have also enhanced restoration of habitats of wild species and the rise in the population and number of species.
The project of returning grazing land to natural grasslands has been implemented. Since the beginning of the project in 2003, by 2012, grassland fences covering an area of 606,000 km2  have been established, among them, 262,000 km2 for grazing ban fences, 317,000 km2 for fences for temporarily stopping grazing, 27,000 km2 for alternating grazing and 153,000 km2  for reseeding seriously degraded grasslands. The average vegetation rate in the project implemented areas is 64%, 12% higher than that of the non-project areas. The fresh grass output per mu in the project areas has reached 212 kg, 70% or so higher than that from the non-project areas. Vegetation structure is gradually stabilizing with biodiversity being improved and good-quality grass percentage obviously going up.
NR-P.155:Remarkable achievements have been made in conservation and restoration of grassland ecosystems. Compared with areas without such projects implemented, vegetation coverage of grasslands in project areas increased by 11%, grass height increased by 43.1%, and fresh grass output increased by 50.7%. The situation of grassland use is considerably improving, with the rate of overcapacity use of grasslands in 268 counties in 2012 down by 34.5%-36.2% compared with the situation in 2011. However overall most of grasslands are being used beyond their capacities and degradation, desertification and salinization of grasslands have not been effectively controlled. </t>
  </si>
  <si>
    <t xml:space="preserve">
NR-P.99:  By 2021, the loss of wetland ecosystem is significantly reduced in order to enable ecosystem services and facilitate ecosystem-based adaption to climate change.</t>
  </si>
  <si>
    <t xml:space="preserve">
NR-P.86 &amp;87 </t>
  </si>
  <si>
    <t xml:space="preserve">
NR-P.46, 86 &amp; 87 </t>
  </si>
  <si>
    <t xml:space="preserve">
NR-P.93: Protected Areas, Ecologically Critical Areas and fish sanctuaries have been established; the drivers of degradation have not been addressed at its full range.</t>
  </si>
  <si>
    <t xml:space="preserve">
(NR-P.95) 
Carbon stock of 15 Protected Area including Sundarbans has been assessed 
More than 15% of the plain land forests have been restored.
Government has taken initiatives to restore the ecosystems of hill forests through massive enrichment plantation, natural regeneration and introduction of Social Forestry in the hilly districts of Bangladesh.</t>
  </si>
  <si>
    <t xml:space="preserve">
NR-P.29: The establishment of the Brunei Heart of Borneo (HoB) initiative has strengthened and integrates natural resources conservation and management program of the country. The HoB is composed of multi-sectoral stakeholders coming from government and non-government agencies. Its main objective is to coordinate the sustainable utilization, management, conservation and preservation of the countries limited natural resources. The HoB also caters for the conduct of researches to support resources management and improving institutional governing structures.</t>
  </si>
  <si>
    <t xml:space="preserve">
NR-P.28: The Belait Peatswamp (BAP) actions will implement reforestation in degraded forest areas with sago planting at Kuala Balai.
NR-P.38:The role of the country’s forest ecosystem in sequestering atmospheric carbon is highly recognized by the government. As such, all timber harvesting and related utilization of forest resources inside the country’s peat swamp forests are not allowed. Brunei peat swamp forests are still in pristine condition and acknowledged to be among the most preserved peat swamp ecosystem in the island of Borneo</t>
  </si>
  <si>
    <t xml:space="preserve">
NR- P.35:GOAL:
Conduct efforts for reducing GHG emission from deforestation, forest and peatland degradation (REDD) to minimize global warming impact on environmental degradation
Achievements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</si>
  <si>
    <t xml:space="preserve">
NR-P8: Indonesia has set the mangrove areas as a wildlife conservation area. In Indonesia there are 17 mangrove protection areas to protect certain wildlife species . The loss of mangrove ecosystems has disrupted populations of wildlife species including bats, thus impacting on the decrease in fruit yields pollinated by bats in Southeast Asia </t>
  </si>
  <si>
    <t xml:space="preserve">
NR- P.59: Based on Indonesia Millennium Development Goals Achievement 2011 Report submitted to United Nations in 2012, important efforts exclusively related to biodiversity has been implemented to accelerate MDGs goals achievement, as follows:
In order to increase the ratio of tree coverage area and the ratio of protected area, Government of Indonesia has undertaken priority activities in forest and critical land rehabilitation, including mangrove forest, coastal forest, peat and swamp forests along river basin/watershed territory in Indonesia to date 2.5 million hectares target for 2010-2014. Simultaneously, various efforts to improve  forest area management at level site (tapak) to accelerate settlement of forest area delineation and to expedite of Forest Management Unit (KPH) operation. Furthermore, many efforts have been conducted in diminishing the number of hot-spots and forest burnt areas to reduce forest fire spread.
NR- P.31: Forests and Land Rehabilitation
Land rehabilitation implementation is prioritized on tree planting/re-planting in very critical and
critical land areas beyond forest area and the development of soil conservation building. Rehabilitation
achievement in the last 5 years period 2009-2013 is shown in table 23.
NR- P.32: Development Ecosystem Restoration Concession in Indonesia through Hutan Harapan Initiative 
Hutan Harapan initiated by A consortium of Burung Indonesia, The Royal Society for the Protection of Birds (RSPB) and Birdlife International which aims to conserve biodiversity, restore forest, bring great economic mand livelihood for people, produce economic value and ecosystem services. </t>
  </si>
  <si>
    <t xml:space="preserve">
NR-P.28: To date, a total of 22 High Conversation Value Forest (HCVF) had been established within PRFs in Peninsular Malaysia for the in- situ conservation of various unique flora species, water catchment areas, seed production areas, pristine virgin jungle reserves, lowland dipterocarp forest and customary burial ground covering a region of 2,649.40 hectares.
NR-P.81: The Heart of Borneo Initiative is a voluntary transboundary cooperation between Malaysia, Indonesia and Brunei, seated upon sustainable development foundations aimed at conserving and managing the contiguous tropical forests in the island of Borneo. </t>
  </si>
  <si>
    <t xml:space="preserve">
(NR-P. 12) National Wetlands Policy 2004 - (which is currently under revision) aims  to ensure conservation and the wise-use of the wetlands to benefit from its functions, as well as fulfil Malaysia’s obligations under the RAMSAR Convention. The policy’s objectives include:
a) protection and conservation of different types of wetlands;
b) integration of wetlands conservation interests into overall natural resource planning;
c) increase scientific and technical knowledge and public appreciation of wetlands functions and benefits; and
d) restoration of degraded wetlands.
(NR-P. 75) The National Action Plan for Peatland Managament in Malaysia indicates the Restoration of degraded peatlands as a key activity.
(NR-P. 83)  In Sabah, there is now a new Strategic Plan of Action 2014-2020, replacing the first Strategic Action Plan for the state which ceased in 2012. During the period of the first Strategic Plan for the state that ran from 2008-2012, many notable state efforts have contributed towards the implementation of the HoB goals. They include amongst others.
* Reforestation and restoration efforts aimed at restoring forest functionality over 150,000hectares of the most degraded areas in the state were undertaken by many stakeholders;
</t>
  </si>
  <si>
    <t xml:space="preserve">
NR-P.79: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</si>
  <si>
    <t xml:space="preserve">
NR-P.6: Figure 3. Strategic framework for ENR conservation, protection and rehabilitation 2011-2016</t>
  </si>
  <si>
    <t xml:space="preserve">
Rehabilitate identified priority areas (criteria to be developed) i.e. degraded
riparian forests, peatlands, beach, mangrove, intertidal areas, seagrass,
soft-bottom, coral reef habitats.
</t>
  </si>
  <si>
    <t xml:space="preserve">
NBSAP-P.104: National Target 15: By 2020, priority degraded ecosystems and habitats are identified and rehabilitated
NBSAP-P.103):In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</si>
  <si>
    <t xml:space="preserve">
NR- P.62: In order to deal with critical issues like  deforestation and degradation of the forests, along with the sustenance of forest-dependent communities, the National Afforestation and Eco-Development Board (NAEB) provides support to Forest Development Agencies through the National Afforestation Programme. In 2010-2011, the State Forest Development Agency has been constituted to facilitate the flow of funds to Forest Development Agencies. The National Forest Policy (1988) aims at maintaining a minimum of 33% of the country's geographical area under forests and tree cover.
NR- P.63: Ecological Restoration of Chilika Lagoon: Success to be replicated
NR- P.78: Khasi Hills community REDD+ initiative, Meghalaya, India
 The Khasi tribal community of the Umiam watershed, East Khasi Hills district of Meghalaya, initiated a REDD+ project. Under this project, 10 indigenous Governments of 62 villages are restoring and protecting 27,000 ha of forest, connecting sacred forests and regenerating forest fragments at the landscape level. The Khasi Hills are experiencing extremely rapid deforestation and degradation due to social, economic and market forces. Satellite imagery from 2006-2010 revealed an annual forest loss of 4%. According to project estimates this REDD+ activity would yield approximately 318,000 tonnes of CO over the first 10 years of the project plus additional benefits  including biodiversity and conservation of unique montane cloud forest ecosystems as well as 500 year old sacred groves. Carbon revenues will be used to fund project activities that enhance the hydrology of the watershed, improving the water storage capacity and dry season flows. Of the total carbon credits projected, approximately 69% will be from avoided deforestation and forest degradation, while an additional 31% will be generated through sequestration as degraded forests are restored through assisted natural regeneration.
</t>
  </si>
  <si>
    <t xml:space="preserve">
(NBSAP- P.29: 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</si>
  <si>
    <t xml:space="preserve">
NR- P.82: Mangrove restoration projects under  Global Environment Facility (GEF) small grant and Mangroves For the Future small grant implemented
NBSAP- P.32: Conduct programmes to restore essential ecosystems through addressing pressures, restoration, and providing alternative solutions to prevent destruction and overuse. </t>
  </si>
  <si>
    <t xml:space="preserve">
NBSAP-P: 30
• By 2017, economic incentives for the restoration of degraded soil, protection of soil vulnerable to climate change, and prevention of soil degradation is included in the policies and legislation of related sectors such as agriculture and mining infrastructure.
• By 2020, restoration of degraded soil, protection of soil vulnerable to climate change, and prevention of soil degradation in areas important to biodiversity is implemented.
• By 2023, a prevention of soil degradation is improved
NBSAP-P: 31
 By 2022, fallowed lands for restoration is identified and restoration activities of biodiversity important area is started</t>
  </si>
  <si>
    <t xml:space="preserve">
NBSAP-P.5:
2010  Goals : Rehabilitate 50% of the degraded watershed area;
Result: Between 2006-2008, 620,188 hectares of forest (of which, 139,625 hectares was protection and special-use forest, and 480,563 hectares was production forest) has been newly planted
Not yet Achieved: Natural forests with high biological diversity are still being exploited and  declining more than before. Particularly in Quang Nam province, from 2007 to 2009, approximately 600 hectares of natural forest was lost. In some mountainous provinces, the watersheds of major rivers have forest cover below 50%; for example: Lai Chau (39.2%), Lang Son (46.33% in 2008), and Lao Cai (48.2%). Chances of complete recovery of  species-rich forests are low since these forests have been fragmented and isolated
(NBSAP-P.85) Continue to implement the targets and tasks in the mangrove forest restoration program under Decision 405/TTg-KTN dated 16 March 2009;
(NBSAP-P.90) Map areas of high biodiversity value in the REDD + program; promote the use  of native species for forest enrichment and restoration in the framework of REDD+; provide information of the implementation of national action plans on REDD+ and contribute to reach two targets of biodiversity conservation and adaptation to climate change;
(NBSAP-P.92) Plan on restoration of degraded critical ecosystems submitted in 2014
(NBSAP-P.39) 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arebecoming increasingly vulnerable to conversion to cash crop plantations.
(NBSAP-P.55) Vietnam’s forest ecosystems, which are most biodiverse, are home to the majority  of the species of wild plants and animals. Since 1990, thanks to the reforestation program, the  forest cover has increased every year, reaching 41.5% in 2014, but it is still lower than targeted, as the bare land area is still more than 2 million hectares.</t>
  </si>
  <si>
    <t xml:space="preserve">
NBSAP- P.76: Goal 7: Strengthen scientific research on conservation and sustainable use of biodiversity 
</t>
  </si>
  <si>
    <t xml:space="preserve">
NBSAP-P.80: Action 2: Promote the conservation of ecosystem and habitat biodiversity Conservation of ecosystem and habitat is the most vital for biodiversity conservation. Key point of ecosystem and habitat conservation is the establishment of protected areas and protected area system.
For DPR Korea, of importance is to improve the management quality of already established protected areas that has stretched 7.25% of the whole territory since 2003. Site-based biodiversity objectives for each protected area will be identified, corresponding management institutions and regulations be established and legal control and protective management be improved. Restoration of the recently degraded ecosystems will be encouraged. Bio-resource management in the protected areas and their vicinity should be improved in respect to the high population density of the country. With this view, education &amp; public awareness will be enhanced, and the model of participatory management of protected area will be created and generalized, where reserve’s industry will be found while local residents will obtain ecoenvironmental and socio-economic benefits from reserve. Acreage of protected area is intended to be enlarged to 10% of the whole territory of DPR Korea.
NBSAP-P.42: The MLEP arranged the restoration of destroyed nurseries and the establishment of a newCentral Nursery with an area of 100 ha in 2000, and also organized the construction of mother nurseries of 20-25 ha at municipal and county levels, which resulted in the increase of sapling production capacity in 2002 four times as much as that in 1994. since 2002, annual reforestation of over 900,000,000 trees has been organized as a nationwide campaign.
NBSAP- P. 111:The restoration of degraded forests of 700,000 ha, sustainable management of industrial forests for lumber production (2,000,000 ha) and the management improvement of the forests belonging to cooperative farms (200,000 ha) are urgently requesting the establishment of sustainable forest management system with emphasis on the biodiversity conservation of forest ecosystem. 
NBSAP- P.110:
Project Title: Restoration of degraded forests and improvement of catchment area management
Objective:To promote the quick restoration of recently degraded forests and integrated it to the catchment area management so as to build up the capacity for sustainable management of catchment areas.
NBSAP- P.102:
Project Title:  Preparation of Wetland Action Plan and restoration of degraded wetland ecosystem
Objective:
- To create the national action plan which will serve as a guideline for the improvement of public awareness on the importance of the conservation and sustainable use of wetland ecosystem, and for the scientification, standardization and modernization of the conservation and sustainable use of wetlands;
- To restore the wetlands which are of international significance but have been considerably degraded, on which creating and extensively disseminating the model 
</t>
  </si>
  <si>
    <t xml:space="preserve">
NBSAP-P.49: Biodiversity evaluation and restoring efforts</t>
  </si>
  <si>
    <t xml:space="preserve">
NR-P.18: CASE STUDY - Forest Ecosystems Restoration and Conservation in Korea
NBSAP-P.50
• Construct information infrastructure by mapping national environment
• Construct national ecosystem network
• Executing and monitoring restoration projects of tidal flats
• Restore damages in Baekdudaegan Mountain Range and DMZ areas </t>
  </si>
  <si>
    <t xml:space="preserve">
NR- P.46 Action
 Efforts are in place to restore forest lands and forest regeneration is listed as one of the main REDD+ activities to be implemented as part of the Carbon Fund Emission Reduction Programme
NR- P.89: 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</si>
  <si>
    <t xml:space="preserve">
NR-P.59: 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</si>
  <si>
    <t xml:space="preserve">
NR-P.45: Singapore has been a member to the “Agreement between the Governments of the Member States of ASEAN and the Republic of Korea on Forest Cooperation” or AFoCo Agreement since it entered into force in August 2012. The two-year agreement was extended in August 2014 for a further two years. The main focus of this agreement is to facilitate forest-related cooperative projects among AMS and the Republic of Korea in the context of reducing deforestation, forest degradation as well as the sustainable management of forests. NParks, through the National Biodiversity Centre (NBC),serves as the focal and implementing agency for Singapore for any activities under this agreement.</t>
  </si>
  <si>
    <t xml:space="preserve">
NR-P.58: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
NR-P.25: Pulau Ubin is the second largest island off mainland Singapore, recognising the importance of protecting the biodiversity at Pulau Ubin, the government started the Ubin Project in 2014 to consult citizens on ways to retain the rustic and natural character of the island for future generations to experience:
- Mangrove restoration is part of the project:
The Restore Ubin Mangroves (RUM) group will be piloting a restoration project at the south-eastern part of Pulau Ubin. RUM is a ground-up initiative supported by NParks.</t>
  </si>
  <si>
    <t xml:space="preserve">
NR-P.95: 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</si>
  <si>
    <t xml:space="preserve">
NR-P.95:
* Sri Lanka is currently implementing the Sri Lanka UN-REDD Programme with the objective of building capacities to implement the REDD+ activities towards the end of the programme period.
* The annual forest restoration program of the Forest Department has intensified with government allocating special annual allocation of Rs.500 million (US $ 4 million) from 2014 onwards, towards the achievement of the national target  of 35 percent forest cover set by the Mahinda Chintana Vision for  the Future. Large extents of degraded forest areas (especially located in the Dry Zone) are expected to be restored primarily using assisted natural regeneration (ANR). 
* The Ministry of Environment and Renewable Energy is implementing a special program for the rehabilitation of mangrove areas by implementing replanting programs in  several locations. </t>
  </si>
  <si>
    <t>Assess the impact of climate change on biodiversity in vulnerable areas and protected areas.
• Conduct a feasibility assessment of the application of international mechanisms, suggested by UNFCCC (e.g. international carbon market), in Egypt.
• Implement Climate Change Capacity Building Phase II.
• Develop mapping of soil degradation and desertification
• Expand desertification control programs focusing on conservation of plant cover, reduction of soil erosion and watershed management</t>
  </si>
  <si>
    <t>NR-P.33: L’affectation de surfaces importantes de mangroves au Conservatoire du littoral y contribue pleinement. Elle permet en effet, en lien avec les collectivités et l’Office national des forêts, de conduire des opérations exemplaires de gestion et de mise en valeur. Le Conservatoire du littoral assure ainsi aujourd’hui la maîtrise foncière de 24 000 hectares de mangroves sur les territoires de Guyane, Guadeloupe, Saint Martin et Mayotte. L’objectif est de compléter ce réseau d’ici à 2016 pour augmenter d’environ 50 % cette surface, en orientant les perspectives d’affectation plus particulièrement en Martinique, à Mayotte et en Guyane. Une première identification des zones prioritaires de mangroves à protéger sur ces territoires a d’ailleurs été menée à l’été 2014</t>
  </si>
  <si>
    <t>NR-P.56: The overall aim of the Community Forest Action Plan (Commission Communication to the Council and the European Parliament [COM (2006) 302 final]) is to support and enhance sustainable management of forests and their multifunctional role. One of the objectives of the Action Plan, directly related to biodiversity is «To maintain and appropriately enhance biodiversity, carbon sequestration, integrity, health and resilience of forest ecosystems at multiple geographical scales».</t>
  </si>
  <si>
    <t xml:space="preserve">NR-P.41: Conservation of areas of importance to fungi
NR-P.71: Establish and manage an allencompassing, adequate and representative protected areas system which enables biological diversity of the Republic of Serbia. </t>
  </si>
  <si>
    <t>NR-P.4: 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Additionally, Israel has adopted a Green Growth Strategy</t>
  </si>
  <si>
    <t>NR-P.67: Forest management is regulated by the Forest Act and the National Forest Programme, which provide for conditions for multi-purpose forest management in accordance with the protection of the environment and natural assets and for the monitoring of the status of forests as ecosystems. The provisions of the Forest Act facilitate the achievement of the following objectives set in the National Forest Development Programme:
 to ensure forest conservation and the sustainable development of forests in terms of their biodiversity and all ecological, social and production functions;
 to preserve the natural environment and ecological balance in the landscape;
 to maintain the level of pop</t>
  </si>
  <si>
    <t>NR-P.96: Another group of measures aims at the conservation of carbon stocks in forests. In this priority axis are envisaged activities that aim primarily at maintaining and improving the condition of forests as a carbon depot:
* Restoration and maintenance of forest belts and making new anti-erosion forestation;
* Supporting the protection and maintenance of forests with high conservation value and implementation of extensive approach to their use;
* Preservation and improvement of urban and suburban parks;
* Prevention of forest fires through the introduction of early warning systems.</t>
  </si>
  <si>
    <t>NBSAP-P. 68: Continue wetland restoration and desertification control programs.</t>
  </si>
  <si>
    <t>NR-P.25: Des actions significatives de restauration ont été engagées, souvent à l’initiative des propriétaires ou des gestionnaires. Elles ont concerné particulièrement les mangroves, les dunes et pannes dunaires ou encore les annexes alluviales. La France a mis en œuvre deux plans successifs de protection des zones humides et a adopté en 2014 un troisième plan national, étendu aux milieux humides selon la définition de la convention de Ramsar. Ce plan est centré sur la diminution des dégradations d’origine agricole et sur l’amélioration de la prise en compte du fonctionnement des milieux humides dans les projets d’aménagement en particulier en milieu urbain et littoral</t>
  </si>
  <si>
    <t>NR-P.56: FOREST FIRES</t>
  </si>
  <si>
    <t>NBSAP-P.35: FIGURE 6: SUPERFICIES FORESTIERES REBOISEES ANNUELLEMENT
NBSAP-P.112: L’inversion des tendances actuelles de la dégradation du couvert forestier par le reboisement, la régénération et l’amélioration sylvo-pastorale sur 500.000 ha.
Évolution de la superficie des écosystèmes dégradés qui ont été restaurés ou en cours de restauration.</t>
  </si>
  <si>
    <t xml:space="preserve">NR-P.61: Artificial aforestation was lesser in 2012 than in 2011, namely by 686 ha, which represents a decrease of about 24% in comparison with the previous year. The total afforested surface in 2012 amounts to 2 135 ha. The surface afforested with coniferous species amounts to 869 ha, which represents about 41% of the total afforested surface in 2012. In the public sector, 1 541 ha was afforested, and 594 ha of land were afforested in the private sector. </t>
  </si>
  <si>
    <t>Conservation actions</t>
  </si>
  <si>
    <t xml:space="preserve">NR-P.66: In the Operational Programme for the Implementation of the EU Cohesion Policy 2014–202059, a special priority investment is dedicated to the protection and restoration of biodiversity and soil and the promotion of ecosystem services, including the Natura 2000 network and green infrastructure. 
</t>
  </si>
  <si>
    <t>NR-P.63: The measures from the National Strategy for Sustainable Development of Forestry Sector 2006–2015 and the Strategic Plan for the Development of the Forestry Sector 2007–2011 have been implemented in the forestry sector. A new National Strategy for the Development of the Forestry Sector in R. Bulgaria for the period 2013–2020 has been elaborated. It contains four priorities and 20 measures. In implementing the priority of maintaining healthy, productive and multifunctional forest ecosystems, contributing to the mitigation of climate change, are envisaged the following measures and activities aimed at the conservation and sustainable use of forest resources:
 Increase of woodlands, the tree stock and the carbon stock in forest areas – through afforestation of abandoned agricultural lands, deforested areas, eroded and threatened by erosion areas;
 Improvement of the forest management – it will help to maintain vibrant and multifunctional forest ecosystems, to increase the productivity of forests, to improve their resistance to diseases, pests, natural disasters and other biotic and abiotic factors;
 Increasing of the efficiency of forest fire prevention and combating illegal activities in the forests
NR-P.96: The main direct measures are:
 Use of ‘treeless areas for afforestation’ in forest areas;
 Afforestation of areas of abandoned farmland, bare, eroded and threatened by erosion areas outside forest areas;
 Increase of the area of urban and rural parks and green areas;
 Restoration and sustainable management of wetlands, conservation and preservation of wetlands in forest areas, bogs, fens.</t>
  </si>
  <si>
    <t>NBSAP-P.127: By 2020, restore 30 strip-mine lakes into wetland habitats, increase the productivity of all categories of forests, preserve the existing area of flood alder and willow forests, and increase the regulated urban green areas by 20 %
NBSAP-P.119: Conduct forestation of degraded forest ecosystems with indigenous species;</t>
  </si>
  <si>
    <t xml:space="preserve">NBSAP-P.127: By 2020, restore 30 strip-mine lakes into wetland habitats, increase the productivity of all categories of forests, preserve the existing area of flood alder and willow forests, and increase the regulated urban green areas by 20 %
NBSAP-P.119: Conduct forestation of degraded forest ecosystems with indigenousspecies;
</t>
  </si>
  <si>
    <t>NR-P.89: In efforts to reduce natural habitats loss, Lebanon is more and more considering the forest sector as a national asset and reforestation initiatives are being implemented; the main four being the “National Reforestation Plan of the MoE”, “Safeguarding and Restoring Lebanon’s Woodland Resources”, “The 40 Million Trees Program”, and the “Lebanon Reforestation Initiative”. Moreover, a draft law on forest fires has also been prepared and submitted to the COM for approval and endorsement.</t>
  </si>
  <si>
    <t>Reconstitution of forests on 200,000 ha by 2020</t>
  </si>
  <si>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</si>
  <si>
    <t>Billy Tsekos:
NBSAP- P.47: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</si>
  <si>
    <t>Billy Tsekos:
NBSAP- P.134: National goal 5: By the year 2020, to reduce more than half the degradation and fragmentation of the habitats and ecosystems, mainly, forests andmore sensitive ecosystems, provoked by illegal activities</t>
  </si>
  <si>
    <t xml:space="preserve">Goals for ABT 5
 NR- P.85: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</si>
  <si>
    <t>Billy Tsekos:
NBSAP-P.52:
Objectif 1: D’ici à 2020, 50 % des écosystèmes et habitats dans l’espace rural sont protégés afin d’assurer la conservation de la diversité biologique.
Objectif 11: D’ici à 2020, l’exploitation des forêts est compatible avec les objectifs nationaux de sauvegarde de la diversité biologique.
 Objectif 13: D’ici à 2020, le développement de l’exploitation des mines et du pétrole n’entrave pas l’atteinte des objectifs de sauvegarde de la diversité biologique.</t>
  </si>
  <si>
    <t>Billy Tsekos:
NR-p. 14: Their targets are not specific and are developed based on themes. Here are some targets that relate to target 5:
- Protected area systems that incorporate natural habitats and viable populations of species established</t>
  </si>
  <si>
    <t xml:space="preserve">Billy Tsekos:
(NBSAP-P.51)
Target 5.1:  By 2020, at least 10% of DMDF and mangrove forest has been put under some form of protection, including sustainable use and management. 
Target 5.2:  By 2018, the PFE will have been re-assessed. 
Target 5.3:  By 2020, all wetland areas surveyed and prioritized for conservation value. 
Target 5.4:  By 2020, all wetland areas surveyed and prioritized for conservation value. 
Target 5.5: By 2020, negotiation phase to sign Forest Law Enforcement Governance and Trade (FLEGT) and Voluntary Partnership Agreement{VPA ) a FLEGT VPA has been conducted.
</t>
  </si>
  <si>
    <t>Billy Tsekos:
NR-P. 56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</si>
  <si>
    <t xml:space="preserve">NR-P.75:By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</si>
  <si>
    <t xml:space="preserve">billy.tsekos:
NR- P.53:National target 12: By 2020, the rate of natural habitat  loss will have reduced, and restoration of natural habitat and wildlife corridors will have improved. </t>
  </si>
  <si>
    <t>NR- P. 28: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</si>
  <si>
    <t>billy.tsekos:
NR-P.99: By 2016, every sector of society, particularly local communities and their networks, significantly increase their participation in the conservation, restoration and sustainable use of biodiversity.
NR-P.99: By 2016, the rate of habitat loss, including forestlands, is reduced.
NR-P.99: By 2016, effectiveness in managing wetlands is increased at all levels.
NR-P.99: By 2020, the rate of habitat loss, including forestlands, is reduced by 50%.</t>
  </si>
  <si>
    <t>billy.tsekos:
NR- P.45: GOALS
• Conservation/Protection Forest Rehabilitation (KPL)
• Establishment of City Forest
• Mangrove/Coastal Forest Rehabilitation
• Critical land rehabilitation
NR- P.45:Achievemnts:
Total realization from 2010- 2013 is 1.852.692 ha, with target by 2014 up to 2.5 million hectares</t>
  </si>
  <si>
    <t>billy.tsekos:
PHILIPPINE BIODIVERSITY STRATEGY AND ACTION PLAN 2014-2025(Draft as of April 2014)
NR-P.92: Protect and conserve existing natural habitats and pursue restoration of the functionality of degraded habitats.</t>
  </si>
  <si>
    <t xml:space="preserve">NBSAP-ADD1-P.23:
National Target3: Strategies for reducing rate of degradation, fragmentation and loss of all natural habitats are finalized and actions put in place by 2020 for environmental amelioration and human well-being.
</t>
  </si>
  <si>
    <t>(NBSAP- P.30) 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</si>
  <si>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</si>
  <si>
    <t xml:space="preserve">billy.tsekos:
NBSAP.P.84-Action 8: Recover degraded ecosystems and halt habitat loss </t>
  </si>
  <si>
    <t>Billy Tsekos:
NBSAP-P.49: Biodiversity evaluation and restoring efforts</t>
  </si>
  <si>
    <t xml:space="preserve">billy.tsekos:
NR- P.28: Conserve threatened and endangered species by enabling the species to survive in their natural habitats 
NR- P.41: Actions: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</si>
  <si>
    <t>billy.tsekos:
NR-P.59: Singapore’s NBSAP is currently undergoing review and national targets are being developed, possibly to be completed before the end of 2015. In addition, NParks’ Nature Conservation Master Plan is intended to support the implementation of Singapore’s NBSAP.
2009 Strategy 1 - Safeguard Our Biodiversity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</si>
  <si>
    <t xml:space="preserve">billy.tsekos:
NR-P.83: 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</si>
  <si>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</si>
  <si>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</si>
  <si>
    <t>p 187
Para 2020, se conocerá la línea base de la pérdida de hábitats
naturales priorizados en el territorio marino-costero y
continental.
Prioridade media</t>
  </si>
  <si>
    <t>No match - Closest found is 
Meta 8 Al 2022, se habrán puesto en marcha mecanismos para lograr la sostenibilidad en el uso de la diversidad biológica y servicios ecosistémicos en todos los sectores e instituciones del Estado, así como en los niveles nacional, regional y municipal-local.</t>
  </si>
  <si>
    <t xml:space="preserve">SO7: Improve substantially biodiversity monitoring at the national level and within key productive sectors as well as the private sector. </t>
  </si>
  <si>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</si>
  <si>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</si>
  <si>
    <t>Resultado 7. Ecuador ha reducido al menos en un 30% las
tasas de pérdida, fragmentación y degradación de los hábitats
naturales, en relación a la línea base del 2013.
Nivel de progreso: ALTO</t>
  </si>
  <si>
    <t>doesnt match - no target on habitat loss reduction found
Meta 9. Para el 2020, se habrán identificado las principales amenazas y se habrán establecido medidas para la conservación del mangle, arrecifes de coral y especies asociadas en el Caribe y Pacífico Nicaragüense.</t>
  </si>
  <si>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</si>
  <si>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</si>
  <si>
    <t>Coertura forestal incrementada?</t>
  </si>
  <si>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</si>
  <si>
    <t>Text of Aichi Target 5</t>
  </si>
  <si>
    <r>
      <t>Los bosques influyen grandemente dentro de las emisiones netas de inventario de GEI en Cuba, al remover aproximadamente 14,3 millones de toneladas de CO</t>
    </r>
    <r>
      <rPr>
        <sz val="11"/>
        <color indexed="8"/>
        <rFont val="Abadi MT Condensed Light"/>
      </rPr>
      <t xml:space="preserve">2 de acuerdo a los datos del último inventario. Ello es fruto del crecimiento sostenido de la cubierta boscosa en Cuba, desde un 13,9% del territorio, al triunfo de la Revolución, hasta 29.4% en 2014. </t>
    </r>
  </si>
  <si>
    <r>
      <t xml:space="preserve">2010
21.9 Mt CO2-eq.
2030 (forecast)
51.2 Mt CO2-eq.
GHG emissions share by sector in 2010 and 2030 [forecast, </t>
    </r>
    <r>
      <rPr>
        <b/>
        <sz val="11"/>
        <color indexed="8"/>
        <rFont val="Abadi MT Condensed Light"/>
      </rPr>
      <t>excluding LULUCF]</t>
    </r>
  </si>
  <si>
    <t>Reforestación de zonas degradadas: Contribución Unilateral Incremento en la capacidad de absorción de Carbono en un 10 % con respecto al Escenario de Referencia al 2050.</t>
  </si>
  <si>
    <t xml:space="preserve">Contribución Apoyada Incremento en la capacidad de absorción de Carbono en un 80 % con respecto al Escenario de Referencia al 2050. </t>
  </si>
  <si>
    <t xml:space="preserve">
NBSAp-P.132: By 2020, map and evaluate the benefits from forest, agricultural and water ecosystems, and strengthen the environmental permit mechanism and supervisory inspection within protected areas, areas of special interest and areas from the Natura 2000 ecological network plan
</t>
  </si>
  <si>
    <t xml:space="preserve">
NBSAP-P.63: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NBSAP-P.68:  By 2021 rate of wetland loss reduced by 25% and water efficiency in irrigation improved by 50%
NBSAP-P.70: By 2020, to promote sustainable hunting and harvesting through adequate planning, restoration and protection of key biological resources.</t>
  </si>
  <si>
    <t xml:space="preserve">
NR-P.47: 
Target 9. To prevent the loss, degradation and fragmentation of natural habitats of national andEuropean importance</t>
  </si>
  <si>
    <t xml:space="preserve">
NBSAP-P.77:
Conservation of national natural capital and ecosystem restoration
Organisation and operation of a National System of Protected Areas and enhancement of benefits from their management</t>
  </si>
  <si>
    <t xml:space="preserve">
NR-P.62: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</si>
  <si>
    <t xml:space="preserve">
By 2030, 50% of all natural ecosystems are sustainably managed and properly considered in land-use planning implementation</t>
  </si>
  <si>
    <t xml:space="preserve">
Établir une liste rouge nationale des habitats et mettre en place des plans priorisés de sauvegarde des habitats les plus menacés du pays, notamment les zones humides.</t>
  </si>
  <si>
    <t xml:space="preserve">
By 2025, the status of habitat types and species, including their genetic diversity will improve and/or will be maintained.</t>
  </si>
  <si>
    <t xml:space="preserve">
NR-P.39: (BASED on OLD NBSAP) To establish an effective monitoring, management and coordination systemfor the conservation of forest biological diversity and the sustainable use of its components</t>
  </si>
  <si>
    <t>Portugal</t>
  </si>
  <si>
    <t xml:space="preserve">NR-P.55 -5.1 Conservación y restauración de ecosistemas y hábitats acuáticos 5.3. Seguimiento, conservación y mejora del estado de los bosques </t>
  </si>
  <si>
    <t>NR-P.2 --&gt; Objetivo estratégico C: Melhorar o estado da biodiversidade através da salvaguarda dos ecossistemas, espécies e diversidade genética 
Meta 11: Até 2020, pelo menos 17 por cento de áreas terrestres e águas interiores e 10 por cento de áreas costeiras e marinhas, especialmente áreas de particular importância para a biodiversidade e os serviços dos ecossistemas, são conservados através de sistemas de áreas protegidas eficaz e equitativamente geridos, ecologicamente representativos e bem conectados e por outras medidas de caráter
territorial, e integrados nas paisagens terrestre e marinha. 
Meta 12: Até 2020 a extinção de espécies ameaçadas conhecidas foi evitada e o seu estado de conservação, particularmente daquelas em maior
declínio, foi melhorado e suportado. 
Meta 13: Até 2020, a diversidade genética das plantas cultivares e dos animais de criação e domesticados e dos parentes selvagens, incluindo outras
espécies com valor socioeconómico assim como cultural, é mantida e foram desenvolvidas e implementadas estratégias para minimizar a erosão e salvaguardar a sua diversidade genética.</t>
  </si>
  <si>
    <t>NR.P5 --&gt; 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</si>
  <si>
    <t>NBSAP-P.62 --&gt;By 2020, the rate of loss of all natural habitats, including range, is at least brought down by 25% and where feasible brought close to zero, and degradation and fragmentation is significantly reduced.</t>
  </si>
  <si>
    <t xml:space="preserve"> NBSAP-P. 63--&gt;By 2020, ecosystem resilience and the contribution of biodiversity to
carbon stocks has been enhanced, through conservation and restoration, including
restoration of at least 15% of degraded ecosystems, thereby contributing to climate change
mitigation and adaptation and to combating desertification.
</t>
  </si>
  <si>
    <t xml:space="preserve">NBSAP (v.3) -P. 4 ---&gt;OBJETIVO 2.2 Promover la restauración ecológica, la conectividad ambiental del territorio y la protección del paisaje
OBJETIVO 2.3 Contribuir a la conservación y restauración de hábitats naturales y especies silvestres.
OBJETIVO 3.3 Contribuir al seguimiento y mejora del estado de salud de los bosques y evaluar su contribución a la mitigación y adaptación al cambio climático.
OBJETIVO 3.17 Fomentar la coherencia y las sinergias positivas entre las políticas de conservación de la biodiversidad y de lucha contra el cambio climático.
</t>
  </si>
  <si>
    <t>NBSAP-P.40 National Target 20: By 2025, sustainable forest management plans are developed and
implemented across the forest zone of Iran, the rate of deforestation significantly
reduced and at least 20% of degraded forests are rehabilitated.</t>
  </si>
  <si>
    <t>Saudi Arabia</t>
  </si>
  <si>
    <t>Syrian Arab Republic</t>
  </si>
  <si>
    <t>Libya</t>
  </si>
  <si>
    <t xml:space="preserve">Text of AFOLU target </t>
  </si>
  <si>
    <t>Text AFOLU target (conditional)</t>
  </si>
  <si>
    <t>Text of LULUCF Target</t>
  </si>
  <si>
    <t>Text LULUCF target (conditional)</t>
  </si>
  <si>
    <t>Dark blue columns to be filled with 1/0, other columns with text from NDCs or N/A if nothing found (don't leave blank - blank is for not reviewed yet)</t>
  </si>
  <si>
    <t>Notes (esp n biodiv/NBSAP links)</t>
  </si>
  <si>
    <t xml:space="preserve">Monaco </t>
  </si>
  <si>
    <t>The main sources of emissions in the Principality of Monaco are road transport, waste-to-energy
and heating and air conditioning in buildings. These three sources each account for nearly 30%
of Monaco’s emissions. The addition of emissions linked to fluorinated gases brings the figure to
more than 98% of the Principality of Monaco’s emissions.
The Principality of Monaco has drawn up an action plan which takes account of this emissions
profile and prioritises actions relating to the most important sources.
With regard to road transport, for more than 20 years the Principality of Monaco’s transport
policy has been based on the following principles:
 Development of clean public transport
 Development of “soft” transport options (pedestrian footpaths, cycling)
 Development of electric vehicles
The Principality intends to strengthen its emissions reduction policy through balanced measures
in each of these three areas. The pedestrian modal share for intra-urban journeys is already above
50%. The policy of developing mechanised walkways, escalators and lifts should reinforce
people’s instincts to travel on foot. The introduction of a dedicated public transport lane serving
the length of the Principality is being studied. This should encourage journeys combining public
transport and walking.
Electric and hybrid vehicles currently account for 2.57% of all cars in the Principality of
Monaco. Very rapid growth in sales of hybrid and electric vehicles was recorded at the
beginning of 2015. This is due to the availability of more attractive new models and the Prince’s
Government’s incentive policy.
The implementation of this incentive policy will be continued and adapted over the coming years
to ensure that road transport will play its part in achieving the national emissions reduction target
in the Principality</t>
  </si>
  <si>
    <t>achieve its emissions targets which are in line with
the IPCC emissions scenario5
enabling the temperature rise to be kept below two degrees
Celsius, with reductions of between 40% and 70% by 2050, compared with 2010</t>
  </si>
  <si>
    <t>The measures outlined in this INDC would achieve significant annual mitigation co-benefits estimated to be up to 130 million tons of CO2eq by 2030. The measures focus on harnessing the mitigation potential in a way that prevents “lock in” of high-GHG infrastructure. These contributions would only be possible under scenario 1 pathway of sustained economic growth</t>
  </si>
  <si>
    <t>NA</t>
  </si>
  <si>
    <t>National Biodiversity Strategy and Action Plan (v.3) - P.181 - OBJETIVO 2.2 Promover la restauración ecológica, la conectividad ambiental del
territorio y la protección del paisaje. (7.000.000 Euros)
OBJETIVO 2.3 Contribuir a la conservación y restauración de hábitats naturales y
especies silvestres. (29.000.000 Euros)</t>
  </si>
  <si>
    <t>NR-P.133: 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</si>
  <si>
    <t>NR-P.47
TARGET 8. To integrate measures for adaptation and mitigation of climate change and combating
desertification</t>
  </si>
  <si>
    <t>Objectif 4 : Adapter, actualiser, et mettre en place une législation efficace et applicable à la conservation, l’utilisation durable, la restauration et la valorisation de la biodiversité.
Indicateur : Un mécanisme de veille réglementaire est mis en place et les textes d'applications des lois clés pour la biodiversité sont promulgués.
Objectif 12 : Protéger, conserver et restaurer les écosystèmes afin de maintenir leur équilibre, assurer leur pérennisation, et garantir durablement la production des services écosystémiques, en visant la conservation d’au moins 20% des zones terrestres, 5% des zones marines et côtières et la restauration des écosystèmes naturels sur une surface d’au moins 5 million d’Hectares.
Indicateur: Augmentation des statuts de protection et conservation des zones terrestres (cible:50%) et marines (cible:5%) d'ici 2030, restauration de plus de 5 Millions Ha d'ici à 2030</t>
  </si>
  <si>
    <t>Objectif 12 : Protéger, conserver et restaurer les écosystèmes afin de maintenir leur équilibre, assurer leur pérennisation, et garantir durablement la production des services écosystémiques, en visant la conservation d’au moins 20% des zones terrestres, 5% des zones marines et côtières et la restauration des écosystèmes naturels sur une surface d’au moins 5 million d’Hectares.
Indicateur: Augmentation des statuts de protection et conservation des zones terrestres (cible:50%) et marines (cible:5%) d'ici 2030, restauration de plus de 5 Millions Ha d'ici à 2030
Objectif 17 : Intégrer dans la gestion des écosystèmes les approches d’adaptation au changement climatique (résilience des écosystèmes, restauration des écosystèmes dégradés, lutte contre la désertification) et de prévention des risques et catastrophes naturelles.
Indicateur: L'intégration des mesures d'adaptation et de prévention des risques dans la gestion des écosystèmes est améliorée</t>
  </si>
  <si>
    <t>1, 2s, 3</t>
  </si>
  <si>
    <t xml:space="preserve">Being classified as a least developed country (LDC) Sudan is not obliged to pursue a GHG
emission reduction target. Nevertheless, Sudan views the planning process to reduce GHG
emissions, or rather pursue low-carbon development, as an opportunity to strengthen national
capacity, promote sustainable resource management, facilitate technology transfer, and identify
synergies between national economic objectives and sustainable development. </t>
  </si>
  <si>
    <t>A 1 percent reduction in GHG emissions by 2030 compared to a business
as usual (BAU) scenario</t>
  </si>
  <si>
    <t>An additional 13 % reduction achievable under certain conditions, which
would bring the total GHG reduction to 14 percent below BAU emission
levels by 2030 *</t>
  </si>
  <si>
    <t xml:space="preserve">Yemen, as a Least Developed Country (LDC) whose emissions are less than 0.1 percent of global
emissions, is not contributing a lot into the anthropogenic GHG emissions (0.92 Metric Tons per
capita in 2011) but stands highly vulnerable to climate change‐related impacts because of its
fragile socioeconomic development and inadequate adaptive capacity. However, Yemen
recognizes that in order to meet the 2 degree objective all countries will need to undertake
mitigation. In view of that, Yemen’s approach focuses on avoiding an increase of emissions per
capita beyond this level, while pursuing its development goals.
</t>
  </si>
  <si>
    <t>INDC (Y/N)</t>
  </si>
  <si>
    <t>Status</t>
  </si>
  <si>
    <t>No NBSAP/5th NR</t>
  </si>
  <si>
    <t>Review complete</t>
  </si>
  <si>
    <t>not reviewed</t>
  </si>
  <si>
    <t>Targets and NDC</t>
  </si>
  <si>
    <t>Iran (Islamic Republic of)</t>
  </si>
  <si>
    <t>Iraq</t>
  </si>
  <si>
    <t>Montenegro</t>
  </si>
  <si>
    <t>State of Palestine</t>
  </si>
  <si>
    <t>Sudan</t>
  </si>
  <si>
    <t>Yemen</t>
  </si>
  <si>
    <t>Agadir Med</t>
  </si>
  <si>
    <t>Agadir other</t>
  </si>
  <si>
    <t>(Present) Agadir Med</t>
  </si>
  <si>
    <t>(Present) Agadir other</t>
  </si>
  <si>
    <t>(Present) Agadir Other</t>
  </si>
  <si>
    <t>Afforestation, reforestation and prevention of forest fires as well as improving means to fight them.
Regarding carbon capture, the country aims to accelerate and intensify its National Reforestation Plan with a global objective of reforestation of 1 245 000 ha (by 2030)</t>
  </si>
  <si>
    <t>- To reinforce the ecosystems resilience (flooding and drought) in order to curtail the risks of natural disasters related to climate change;
- To fight against erosion and rehabilitate its degraded lands as part of the efforts to combat desertification ;
- To integrate the impacts of climate change into sectorial strategies, in particular for agriculture, water management, public health and transport;
- To integrate the impacts of climate change on political stability and national security.</t>
  </si>
  <si>
    <t>reforestation of 1 245 000 ha (by 2030)</t>
  </si>
  <si>
    <t>Reforestation of 1 245 000 ha (by 2030)</t>
  </si>
  <si>
    <t>Afforestation, reforestation and prevention of forest fires as well as improving means to fight them.
Regarding carbon capture, the country aims to accelerate and intensify its National Reforestation Plan with a global objective of reforestation of 1 245 000 ha (by 2030)</t>
  </si>
  <si>
    <t xml:space="preserve">Notes </t>
  </si>
  <si>
    <t>Overall quality of reporting and target setting</t>
  </si>
  <si>
    <t xml:space="preserve">N/A
</t>
  </si>
  <si>
    <t>FAO FRA data</t>
  </si>
  <si>
    <t>Name_BB</t>
  </si>
  <si>
    <t>Name_FRA</t>
  </si>
  <si>
    <t>00-05</t>
  </si>
  <si>
    <t>Average rate of natural forest area change 2005-2010</t>
  </si>
  <si>
    <t>Average rate of natural forest area change 2010-2015</t>
  </si>
  <si>
    <t>diff between two periods</t>
  </si>
  <si>
    <t>NoData</t>
  </si>
  <si>
    <t>Cape Verde</t>
  </si>
  <si>
    <t>Congo</t>
  </si>
  <si>
    <t>Cote d'Ivoire</t>
  </si>
  <si>
    <t>INCREASE</t>
  </si>
  <si>
    <t>Dem People's Rep of Korea</t>
  </si>
  <si>
    <t>The former Yugoslav Republic of Macedonia</t>
  </si>
  <si>
    <t>Iran  (Islamic Republic of)</t>
  </si>
  <si>
    <t>Monaco</t>
  </si>
  <si>
    <t>Moldova, Republic of</t>
  </si>
  <si>
    <t>U.K. of Great Britain and Northern Ireland</t>
  </si>
  <si>
    <t>LOSS</t>
  </si>
  <si>
    <t>STABLE</t>
  </si>
  <si>
    <t>HALVED</t>
  </si>
  <si>
    <t>GAIN</t>
  </si>
  <si>
    <t>GAIN2LOSS</t>
  </si>
  <si>
    <t>REDUC</t>
  </si>
  <si>
    <t>ZEROED</t>
  </si>
  <si>
    <t>LOSS2GAIN</t>
  </si>
  <si>
    <t>REF_SLOW</t>
  </si>
  <si>
    <t>RED_SIGN</t>
  </si>
  <si>
    <t>REF_ACC</t>
  </si>
  <si>
    <t>STATUS</t>
  </si>
  <si>
    <t>AF</t>
  </si>
  <si>
    <t>AFG</t>
  </si>
  <si>
    <t>AL</t>
  </si>
  <si>
    <t>ALB</t>
  </si>
  <si>
    <t>DZ</t>
  </si>
  <si>
    <t>DZA</t>
  </si>
  <si>
    <t>AD</t>
  </si>
  <si>
    <t>AND</t>
  </si>
  <si>
    <t>AO</t>
  </si>
  <si>
    <t>AGO</t>
  </si>
  <si>
    <t>AG</t>
  </si>
  <si>
    <t>ATG</t>
  </si>
  <si>
    <t>AR</t>
  </si>
  <si>
    <t>ARG</t>
  </si>
  <si>
    <t>AM</t>
  </si>
  <si>
    <t>ARM</t>
  </si>
  <si>
    <t>AW</t>
  </si>
  <si>
    <t>ABW</t>
  </si>
  <si>
    <t>AU</t>
  </si>
  <si>
    <t>AUS</t>
  </si>
  <si>
    <t>AT</t>
  </si>
  <si>
    <t>AUT</t>
  </si>
  <si>
    <t>AZ</t>
  </si>
  <si>
    <t>AZE</t>
  </si>
  <si>
    <t>BS</t>
  </si>
  <si>
    <t>BHS</t>
  </si>
  <si>
    <t>BH</t>
  </si>
  <si>
    <t>BHR</t>
  </si>
  <si>
    <t>BD</t>
  </si>
  <si>
    <t>BGD</t>
  </si>
  <si>
    <t>BB</t>
  </si>
  <si>
    <t>BRB</t>
  </si>
  <si>
    <t>BY</t>
  </si>
  <si>
    <t>BLR</t>
  </si>
  <si>
    <t>BE</t>
  </si>
  <si>
    <t>BEL</t>
  </si>
  <si>
    <t>BZ</t>
  </si>
  <si>
    <t>BLZ</t>
  </si>
  <si>
    <t>BJ</t>
  </si>
  <si>
    <t>BEN</t>
  </si>
  <si>
    <t>BT</t>
  </si>
  <si>
    <t>BTN</t>
  </si>
  <si>
    <t>BO</t>
  </si>
  <si>
    <t>BOL</t>
  </si>
  <si>
    <t>BA</t>
  </si>
  <si>
    <t>BIH</t>
  </si>
  <si>
    <t>BW</t>
  </si>
  <si>
    <t>BWA</t>
  </si>
  <si>
    <t>BR</t>
  </si>
  <si>
    <t>BRA</t>
  </si>
  <si>
    <t>BN</t>
  </si>
  <si>
    <t>BRN</t>
  </si>
  <si>
    <t>BG</t>
  </si>
  <si>
    <t>BGR</t>
  </si>
  <si>
    <t>BF</t>
  </si>
  <si>
    <t>BFA</t>
  </si>
  <si>
    <t>BI</t>
  </si>
  <si>
    <t>BDI</t>
  </si>
  <si>
    <t>KH</t>
  </si>
  <si>
    <t>KHM</t>
  </si>
  <si>
    <t>CM</t>
  </si>
  <si>
    <t>CMR</t>
  </si>
  <si>
    <t>CA</t>
  </si>
  <si>
    <t>CAN</t>
  </si>
  <si>
    <t>CPV</t>
  </si>
  <si>
    <t>CYM</t>
  </si>
  <si>
    <t>CF</t>
  </si>
  <si>
    <t>CAF</t>
  </si>
  <si>
    <t>TD</t>
  </si>
  <si>
    <t>TCD</t>
  </si>
  <si>
    <t>CL</t>
  </si>
  <si>
    <t>CHL</t>
  </si>
  <si>
    <t>CN</t>
  </si>
  <si>
    <t>CHN</t>
  </si>
  <si>
    <t>CO</t>
  </si>
  <si>
    <t>COL</t>
  </si>
  <si>
    <t>KM</t>
  </si>
  <si>
    <t>COM</t>
  </si>
  <si>
    <t>CG</t>
  </si>
  <si>
    <t>COG</t>
  </si>
  <si>
    <t>COK</t>
  </si>
  <si>
    <t>CR</t>
  </si>
  <si>
    <t>CRI</t>
  </si>
  <si>
    <t>CI</t>
  </si>
  <si>
    <t>CIV</t>
  </si>
  <si>
    <t>HR</t>
  </si>
  <si>
    <t>HRV</t>
  </si>
  <si>
    <t>CU</t>
  </si>
  <si>
    <t>CUB</t>
  </si>
  <si>
    <t>CY</t>
  </si>
  <si>
    <t>CYP</t>
  </si>
  <si>
    <t>CZ</t>
  </si>
  <si>
    <t>CZE</t>
  </si>
  <si>
    <t>PRK</t>
  </si>
  <si>
    <t>COD</t>
  </si>
  <si>
    <t>DK</t>
  </si>
  <si>
    <t>DNK</t>
  </si>
  <si>
    <t>DJ</t>
  </si>
  <si>
    <t>DJI</t>
  </si>
  <si>
    <t>DM</t>
  </si>
  <si>
    <t>DMA</t>
  </si>
  <si>
    <t>DO</t>
  </si>
  <si>
    <t>DOM</t>
  </si>
  <si>
    <t>EC</t>
  </si>
  <si>
    <t>ECU</t>
  </si>
  <si>
    <t>EG</t>
  </si>
  <si>
    <t>EGY</t>
  </si>
  <si>
    <t>SV</t>
  </si>
  <si>
    <t>SLV</t>
  </si>
  <si>
    <t>GQ</t>
  </si>
  <si>
    <t>GNQ</t>
  </si>
  <si>
    <t>ER</t>
  </si>
  <si>
    <t>ERI</t>
  </si>
  <si>
    <t>EE</t>
  </si>
  <si>
    <t>EST</t>
  </si>
  <si>
    <t>ET</t>
  </si>
  <si>
    <t>ETH</t>
  </si>
  <si>
    <t>FJ</t>
  </si>
  <si>
    <t>FJI</t>
  </si>
  <si>
    <t>FI</t>
  </si>
  <si>
    <t>FIN</t>
  </si>
  <si>
    <t>MKD</t>
  </si>
  <si>
    <t>FR</t>
  </si>
  <si>
    <t>FRA</t>
  </si>
  <si>
    <t>GA</t>
  </si>
  <si>
    <t>GAB</t>
  </si>
  <si>
    <t>GM</t>
  </si>
  <si>
    <t>GMB</t>
  </si>
  <si>
    <t>GE</t>
  </si>
  <si>
    <t>GEO</t>
  </si>
  <si>
    <t>DE</t>
  </si>
  <si>
    <t>DEU</t>
  </si>
  <si>
    <t>GH</t>
  </si>
  <si>
    <t>GHA</t>
  </si>
  <si>
    <t>GR</t>
  </si>
  <si>
    <t>GRC</t>
  </si>
  <si>
    <t>GD</t>
  </si>
  <si>
    <t>GRD</t>
  </si>
  <si>
    <t>GT</t>
  </si>
  <si>
    <t>GTM</t>
  </si>
  <si>
    <t>GN</t>
  </si>
  <si>
    <t>GIN</t>
  </si>
  <si>
    <t>GW</t>
  </si>
  <si>
    <t>GNB</t>
  </si>
  <si>
    <t>GY</t>
  </si>
  <si>
    <t>GUY</t>
  </si>
  <si>
    <t>HT</t>
  </si>
  <si>
    <t>HTI</t>
  </si>
  <si>
    <t>HN</t>
  </si>
  <si>
    <t>HND</t>
  </si>
  <si>
    <t>HU</t>
  </si>
  <si>
    <t>HUN</t>
  </si>
  <si>
    <t>IS</t>
  </si>
  <si>
    <t>ISL</t>
  </si>
  <si>
    <t>IN</t>
  </si>
  <si>
    <t>IND</t>
  </si>
  <si>
    <t>ID</t>
  </si>
  <si>
    <t>IDN</t>
  </si>
  <si>
    <t>IR</t>
  </si>
  <si>
    <t>IRN</t>
  </si>
  <si>
    <t>IQ</t>
  </si>
  <si>
    <t>IRQ</t>
  </si>
  <si>
    <t>IE</t>
  </si>
  <si>
    <t>IRL</t>
  </si>
  <si>
    <t>IL</t>
  </si>
  <si>
    <t>ISR</t>
  </si>
  <si>
    <t>IT</t>
  </si>
  <si>
    <t>ITA</t>
  </si>
  <si>
    <t>JM</t>
  </si>
  <si>
    <t>JAM</t>
  </si>
  <si>
    <t>JP</t>
  </si>
  <si>
    <t>JPN</t>
  </si>
  <si>
    <t>JO</t>
  </si>
  <si>
    <t>JOR</t>
  </si>
  <si>
    <t>KZ</t>
  </si>
  <si>
    <t>KAZ</t>
  </si>
  <si>
    <t>KE</t>
  </si>
  <si>
    <t>KEN</t>
  </si>
  <si>
    <t>KI</t>
  </si>
  <si>
    <t>KIR</t>
  </si>
  <si>
    <t>KW</t>
  </si>
  <si>
    <t>KWT</t>
  </si>
  <si>
    <t>KG</t>
  </si>
  <si>
    <t>KGZ</t>
  </si>
  <si>
    <t>LA</t>
  </si>
  <si>
    <t>LAO</t>
  </si>
  <si>
    <t>LV</t>
  </si>
  <si>
    <t>LVA</t>
  </si>
  <si>
    <t>LB</t>
  </si>
  <si>
    <t>LBN</t>
  </si>
  <si>
    <t>LS</t>
  </si>
  <si>
    <t>LSO</t>
  </si>
  <si>
    <t>LR</t>
  </si>
  <si>
    <t>LBR</t>
  </si>
  <si>
    <t>LY</t>
  </si>
  <si>
    <t>LBY</t>
  </si>
  <si>
    <t>LI</t>
  </si>
  <si>
    <t>LIE</t>
  </si>
  <si>
    <t>LT</t>
  </si>
  <si>
    <t>LTU</t>
  </si>
  <si>
    <t>LU</t>
  </si>
  <si>
    <t>LUX</t>
  </si>
  <si>
    <t>MG</t>
  </si>
  <si>
    <t>MDG</t>
  </si>
  <si>
    <t>MW</t>
  </si>
  <si>
    <t>MWI</t>
  </si>
  <si>
    <t>MY</t>
  </si>
  <si>
    <t>MYS</t>
  </si>
  <si>
    <t>MV</t>
  </si>
  <si>
    <t>MDV</t>
  </si>
  <si>
    <t>ML</t>
  </si>
  <si>
    <t>MLI</t>
  </si>
  <si>
    <t>MT</t>
  </si>
  <si>
    <t>MLT</t>
  </si>
  <si>
    <t>MH</t>
  </si>
  <si>
    <t>MHL</t>
  </si>
  <si>
    <t>MR</t>
  </si>
  <si>
    <t>MRT</t>
  </si>
  <si>
    <t>MU</t>
  </si>
  <si>
    <t>MUS</t>
  </si>
  <si>
    <t>MX</t>
  </si>
  <si>
    <t>MEX</t>
  </si>
  <si>
    <t>FM</t>
  </si>
  <si>
    <t>FSM</t>
  </si>
  <si>
    <t>MC</t>
  </si>
  <si>
    <t>MCO</t>
  </si>
  <si>
    <t>MN</t>
  </si>
  <si>
    <t>MNG</t>
  </si>
  <si>
    <t>ME</t>
  </si>
  <si>
    <t>MNE</t>
  </si>
  <si>
    <t>MA</t>
  </si>
  <si>
    <t>MAR</t>
  </si>
  <si>
    <t>MZ</t>
  </si>
  <si>
    <t>MOZ</t>
  </si>
  <si>
    <t>MM</t>
  </si>
  <si>
    <t>MMR</t>
  </si>
  <si>
    <t>NAM</t>
  </si>
  <si>
    <t>NR</t>
  </si>
  <si>
    <t>NRU</t>
  </si>
  <si>
    <t>NP</t>
  </si>
  <si>
    <t>NPL</t>
  </si>
  <si>
    <t>NL</t>
  </si>
  <si>
    <t>NLD</t>
  </si>
  <si>
    <t>NZ</t>
  </si>
  <si>
    <t>NZL</t>
  </si>
  <si>
    <t>NIC</t>
  </si>
  <si>
    <t>NE</t>
  </si>
  <si>
    <t>NER</t>
  </si>
  <si>
    <t>NG</t>
  </si>
  <si>
    <t>NGA</t>
  </si>
  <si>
    <t>NIU</t>
  </si>
  <si>
    <t>NOR</t>
  </si>
  <si>
    <t>OM</t>
  </si>
  <si>
    <t>OMN</t>
  </si>
  <si>
    <t>PK</t>
  </si>
  <si>
    <t>PAK</t>
  </si>
  <si>
    <t>PW</t>
  </si>
  <si>
    <t>PLW</t>
  </si>
  <si>
    <t>PA</t>
  </si>
  <si>
    <t>PAN</t>
  </si>
  <si>
    <t>PG</t>
  </si>
  <si>
    <t>PNG</t>
  </si>
  <si>
    <t>PY</t>
  </si>
  <si>
    <t>PRY</t>
  </si>
  <si>
    <t>PE</t>
  </si>
  <si>
    <t>PER</t>
  </si>
  <si>
    <t>PH</t>
  </si>
  <si>
    <t>PHL</t>
  </si>
  <si>
    <t>PL</t>
  </si>
  <si>
    <t>POL</t>
  </si>
  <si>
    <t>PT</t>
  </si>
  <si>
    <t>PRT</t>
  </si>
  <si>
    <t>QA</t>
  </si>
  <si>
    <t>QAT</t>
  </si>
  <si>
    <t>KOR</t>
  </si>
  <si>
    <t>MDA</t>
  </si>
  <si>
    <t>RO</t>
  </si>
  <si>
    <t>ROU</t>
  </si>
  <si>
    <t>RU</t>
  </si>
  <si>
    <t>RUS</t>
  </si>
  <si>
    <t>RW</t>
  </si>
  <si>
    <t>RWA</t>
  </si>
  <si>
    <t>KN</t>
  </si>
  <si>
    <t>KNA</t>
  </si>
  <si>
    <t>LC</t>
  </si>
  <si>
    <t>LCA</t>
  </si>
  <si>
    <t>VC</t>
  </si>
  <si>
    <t>VCT</t>
  </si>
  <si>
    <t>WS</t>
  </si>
  <si>
    <t>WSM</t>
  </si>
  <si>
    <t>SM</t>
  </si>
  <si>
    <t>SMR</t>
  </si>
  <si>
    <t>ST</t>
  </si>
  <si>
    <t>STP</t>
  </si>
  <si>
    <t>SA</t>
  </si>
  <si>
    <t>SAU</t>
  </si>
  <si>
    <t>SN</t>
  </si>
  <si>
    <t>SEN</t>
  </si>
  <si>
    <t>RS</t>
  </si>
  <si>
    <t>SRB</t>
  </si>
  <si>
    <t>SC</t>
  </si>
  <si>
    <t>SYC</t>
  </si>
  <si>
    <t>SL</t>
  </si>
  <si>
    <t>SLE</t>
  </si>
  <si>
    <t>SG</t>
  </si>
  <si>
    <t>SGP</t>
  </si>
  <si>
    <t>SK</t>
  </si>
  <si>
    <t>SVK</t>
  </si>
  <si>
    <t>SI</t>
  </si>
  <si>
    <t>SVN</t>
  </si>
  <si>
    <t>SB</t>
  </si>
  <si>
    <t>SLB</t>
  </si>
  <si>
    <t>SO</t>
  </si>
  <si>
    <t>SOM</t>
  </si>
  <si>
    <t>ZA</t>
  </si>
  <si>
    <t>ZAF</t>
  </si>
  <si>
    <t>SSD</t>
  </si>
  <si>
    <t>ES</t>
  </si>
  <si>
    <t>ESP</t>
  </si>
  <si>
    <t>LK</t>
  </si>
  <si>
    <t>LKA</t>
  </si>
  <si>
    <t>PSE</t>
  </si>
  <si>
    <t>SD</t>
  </si>
  <si>
    <t>SDN</t>
  </si>
  <si>
    <t>SR</t>
  </si>
  <si>
    <t>SUR</t>
  </si>
  <si>
    <t>SZ</t>
  </si>
  <si>
    <t>SWZ</t>
  </si>
  <si>
    <t>SE</t>
  </si>
  <si>
    <t>SWE</t>
  </si>
  <si>
    <t>CH</t>
  </si>
  <si>
    <t>CHE</t>
  </si>
  <si>
    <t>SY</t>
  </si>
  <si>
    <t>SYR</t>
  </si>
  <si>
    <t>TJ</t>
  </si>
  <si>
    <t>TJK</t>
  </si>
  <si>
    <t>TH</t>
  </si>
  <si>
    <t>THA</t>
  </si>
  <si>
    <t>TL</t>
  </si>
  <si>
    <t>TLS</t>
  </si>
  <si>
    <t>TG</t>
  </si>
  <si>
    <t>TGO</t>
  </si>
  <si>
    <t>TO</t>
  </si>
  <si>
    <t>TON</t>
  </si>
  <si>
    <t>TT</t>
  </si>
  <si>
    <t>TTO</t>
  </si>
  <si>
    <t>TN</t>
  </si>
  <si>
    <t>TUN</t>
  </si>
  <si>
    <t>TR</t>
  </si>
  <si>
    <t>TUR</t>
  </si>
  <si>
    <t>TM</t>
  </si>
  <si>
    <t>TKM</t>
  </si>
  <si>
    <t>TV</t>
  </si>
  <si>
    <t>TUV</t>
  </si>
  <si>
    <t>UG</t>
  </si>
  <si>
    <t>UGA</t>
  </si>
  <si>
    <t>UA</t>
  </si>
  <si>
    <t>UKR</t>
  </si>
  <si>
    <t>AE</t>
  </si>
  <si>
    <t>ARE</t>
  </si>
  <si>
    <t>GB</t>
  </si>
  <si>
    <t>GBR</t>
  </si>
  <si>
    <t>TZA</t>
  </si>
  <si>
    <t>UY</t>
  </si>
  <si>
    <t>URY</t>
  </si>
  <si>
    <t>UZ</t>
  </si>
  <si>
    <t>UZB</t>
  </si>
  <si>
    <t>VU</t>
  </si>
  <si>
    <t>VUT</t>
  </si>
  <si>
    <t>VE</t>
  </si>
  <si>
    <t>VEN</t>
  </si>
  <si>
    <t>VN</t>
  </si>
  <si>
    <t>VNM</t>
  </si>
  <si>
    <t>YE</t>
  </si>
  <si>
    <t>YEM</t>
  </si>
  <si>
    <t>ZM</t>
  </si>
  <si>
    <t>ZMB</t>
  </si>
  <si>
    <t>ZW</t>
  </si>
  <si>
    <t>ZWE</t>
  </si>
  <si>
    <t>ISO-2</t>
  </si>
  <si>
    <t>ISO-3</t>
  </si>
  <si>
    <t>NBSAP</t>
  </si>
  <si>
    <t>5th NR</t>
  </si>
  <si>
    <t>Included in regional report</t>
  </si>
  <si>
    <t>Total countries</t>
  </si>
  <si>
    <t xml:space="preserve">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
</t>
  </si>
  <si>
    <t>1s,3</t>
  </si>
  <si>
    <t>NBSAP-P.39 
Strategic Goal 3: Reducing pressures on biodiversity and promoting sustainable use of natural resources
National Target 9: By 2030, the rate of loss of natural habitats, in particular forests, wetlands, mountains and dry lands is at least halved, and degradation and
fragmentation is significantly reduced
National Target 16: By 2025, preservation, restoration and sustainable use of terrestrial and inland water ecosystems are ensured.</t>
  </si>
  <si>
    <t>NBSAP-P.40 National Target 20: By 2025, sustainable forest management plans are developed and implemented across the forest zone of Iran, the rate of deforestation significantly reduced and at least 20% of degraded forests are rehabilitated.</t>
  </si>
  <si>
    <t>Modern and eco-friendly and climate smart agricultural technology and practices for scattered local communities in 2/3 of the country’s area;</t>
  </si>
  <si>
    <t>SPECIFIC</t>
  </si>
  <si>
    <t>MEASURABLE</t>
  </si>
  <si>
    <t>ATTAINABLE / REALISTIC</t>
  </si>
  <si>
    <t>TIME BOUND</t>
  </si>
  <si>
    <t>Is there data on the reference state of ecosystems targeted by restoration actions?</t>
  </si>
  <si>
    <t>Current restoration target under your NBSAP/5th national report:</t>
  </si>
  <si>
    <t>COUNTRY:</t>
  </si>
  <si>
    <t>Iran</t>
  </si>
  <si>
    <t>Is there information on available finance for restoration, taking account domestic and international, public and private sources of funding?</t>
  </si>
  <si>
    <t>Where information is missing, write an 'enabling target' for the gathering of relevant information:</t>
  </si>
  <si>
    <t>ENABLING TARGET</t>
  </si>
  <si>
    <t>Is there information available on the amount of time necessary to reach the target?</t>
  </si>
  <si>
    <r>
      <t xml:space="preserve">Answer each of the following question with </t>
    </r>
    <r>
      <rPr>
        <b/>
        <i/>
        <sz val="14"/>
        <color theme="1"/>
        <rFont val="Calibri"/>
        <scheme val="minor"/>
      </rPr>
      <t>YES</t>
    </r>
    <r>
      <rPr>
        <i/>
        <sz val="14"/>
        <color theme="1"/>
        <rFont val="Calibri"/>
        <scheme val="minor"/>
      </rPr>
      <t xml:space="preserve"> or </t>
    </r>
    <r>
      <rPr>
        <b/>
        <i/>
        <sz val="14"/>
        <color theme="1"/>
        <rFont val="Calibri"/>
        <scheme val="minor"/>
      </rPr>
      <t>NO</t>
    </r>
    <r>
      <rPr>
        <i/>
        <sz val="14"/>
        <color theme="1"/>
        <rFont val="Calibri"/>
        <scheme val="minor"/>
      </rPr>
      <t xml:space="preserve">. If the answer is </t>
    </r>
    <r>
      <rPr>
        <b/>
        <i/>
        <sz val="14"/>
        <color theme="1"/>
        <rFont val="Calibri"/>
        <scheme val="minor"/>
      </rPr>
      <t>YES</t>
    </r>
    <r>
      <rPr>
        <i/>
        <sz val="14"/>
        <color theme="1"/>
        <rFont val="Calibri"/>
        <scheme val="minor"/>
      </rPr>
      <t xml:space="preserve">, explain how this information was obtained. If the answer is </t>
    </r>
    <r>
      <rPr>
        <b/>
        <i/>
        <sz val="14"/>
        <color theme="1"/>
        <rFont val="Calibri"/>
        <scheme val="minor"/>
      </rPr>
      <t>NO</t>
    </r>
    <r>
      <rPr>
        <i/>
        <sz val="14"/>
        <color theme="1"/>
        <rFont val="Calibri"/>
        <scheme val="minor"/>
      </rPr>
      <t>, list any national or international sources of support that could help obtain it, including where relevant, from other national targets.</t>
    </r>
  </si>
  <si>
    <t>Enter the name of your country, in English (e.g. 'Algeria'), to retrieve information on your current restoration targets from your country dossier</t>
  </si>
  <si>
    <t>Are there any available indicators of degradation and restoration?</t>
  </si>
  <si>
    <t>Ecosystem-based mitigation and adaptation actions:</t>
  </si>
  <si>
    <t>Ecosystem-based INDC commitment:</t>
  </si>
  <si>
    <t>IMPROVED AND ALIGNED TARGET</t>
  </si>
  <si>
    <t>e.g.: by 20XX, institution Y will assess/gather information on Z</t>
  </si>
  <si>
    <t xml:space="preserve">Does the target include a quantitative measure of the areas to be restored?  (e.g. 100 ha)    </t>
  </si>
  <si>
    <t>Does the target specify what is the proportion of degraded ecosystems that will be restored?</t>
  </si>
  <si>
    <r>
      <rPr>
        <b/>
        <sz val="14"/>
        <color theme="1"/>
        <rFont val="Calibri"/>
        <family val="2"/>
        <scheme val="minor"/>
      </rPr>
      <t>Is there information on the proportion of degraded natural habitats that is available for restoration?</t>
    </r>
    <r>
      <rPr>
        <sz val="14"/>
        <color theme="1"/>
        <rFont val="Calibri"/>
        <family val="2"/>
        <scheme val="minor"/>
      </rPr>
      <t xml:space="preserve"> (e.g. abandoned agricultural, mining or logging sites) </t>
    </r>
  </si>
  <si>
    <r>
      <rPr>
        <b/>
        <sz val="14"/>
        <color theme="1"/>
        <rFont val="Calibri"/>
        <family val="2"/>
        <scheme val="minor"/>
      </rPr>
      <t xml:space="preserve">Is there information on the cost per hectare and total cost of the national restoration objectives? </t>
    </r>
    <r>
      <rPr>
        <sz val="14"/>
        <color theme="1"/>
        <rFont val="Calibri"/>
        <family val="2"/>
        <scheme val="minor"/>
      </rPr>
      <t xml:space="preserve">
</t>
    </r>
  </si>
  <si>
    <t>YES / NO (delete one)</t>
  </si>
  <si>
    <t>Is the target coherent with objectives for ecosystem-based mitigation under the NDC (if applicable)?</t>
  </si>
  <si>
    <t>Does the target specify priority types of ecosystems for restoration?</t>
  </si>
  <si>
    <t>Does the contribution to climate change mitigation under the NDC account for carbon sinks from ecosystem restoration?</t>
  </si>
  <si>
    <t>ALIGNMENT WITH OTHER TARGETS</t>
  </si>
  <si>
    <t>Drawing on the blue sections and other relevant national targets, rewrite the national target under Target 15 and make it as SMART as possible using all available information:</t>
  </si>
  <si>
    <t>Is there information on how much of the target can be attained by 2020? (end of the Strategic Plan 2011-2020)</t>
  </si>
  <si>
    <t>(P.92) Iraqi Target 5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t>
  </si>
  <si>
    <t>(P.92) Iraqi Target 5 -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
Iraqi Target 9 - By the end of 2020, about 1,000 square km of desertified shrubland grassland is restored</t>
  </si>
  <si>
    <t>NR-P103--&gt; The current ecosystem resilience and the contribution of biodiversity conservation and restoration efforts so far reached are far below the proposed 15 % of the area of the degraded ecosystem</t>
  </si>
  <si>
    <t>NR-P.100 --&gt; The rate of degradation of forests and rangelands is quite exacerbate that makes it difficult to achieve the target , within the absence of balanced of development and the scarcity of businesses and widespread of poverty.</t>
  </si>
  <si>
    <t>(P.92) Iraqi Target 5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t>
  </si>
  <si>
    <t>YES / NO (delete one)
Source for this information:</t>
  </si>
  <si>
    <t>Component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</si>
</sst>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000"/>
  </numFmts>
  <fonts count="104" x14ac:knownFonts="1">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2"/>
      <color theme="1"/>
      <name val="Calibri"/>
      <family val="2"/>
      <scheme val="minor"/>
    </font>
    <font>
      <sz val="12"/>
      <color theme="1"/>
      <name val="Arial Narrow"/>
      <family val="2"/>
    </font>
    <font>
      <sz val="9"/>
      <color indexed="81"/>
      <name val="Tahoma"/>
      <family val="2"/>
    </font>
    <font>
      <b/>
      <sz val="9"/>
      <color indexed="81"/>
      <name val="Tahoma"/>
      <family val="2"/>
    </font>
    <font>
      <sz val="11"/>
      <color theme="1"/>
      <name val="Calibri"/>
      <family val="2"/>
      <scheme val="minor"/>
    </font>
    <font>
      <sz val="11"/>
      <color theme="1"/>
      <name val="Arial Narrow"/>
      <family val="2"/>
    </font>
    <font>
      <sz val="9"/>
      <color indexed="8"/>
      <name val="Tahoma"/>
      <family val="2"/>
    </font>
    <font>
      <sz val="11"/>
      <color rgb="FF3F3F76"/>
      <name val="Calibri"/>
      <family val="2"/>
      <scheme val="minor"/>
    </font>
    <font>
      <sz val="9"/>
      <color indexed="81"/>
      <name val="Times New Roman"/>
      <family val="1"/>
    </font>
    <font>
      <b/>
      <sz val="9"/>
      <color indexed="81"/>
      <name val="Times New Roman"/>
      <family val="1"/>
    </font>
    <font>
      <b/>
      <sz val="11"/>
      <color theme="1"/>
      <name val="Calibri"/>
      <scheme val="minor"/>
    </font>
    <font>
      <sz val="11"/>
      <color theme="0"/>
      <name val="Arial Narrow"/>
      <family val="2"/>
    </font>
    <font>
      <sz val="11"/>
      <color theme="0"/>
      <name val="Calibri"/>
      <family val="2"/>
      <scheme val="minor"/>
    </font>
    <font>
      <u/>
      <sz val="12"/>
      <color theme="10"/>
      <name val="Calibri"/>
      <family val="2"/>
      <scheme val="minor"/>
    </font>
    <font>
      <u/>
      <sz val="12"/>
      <color theme="11"/>
      <name val="Calibri"/>
      <family val="2"/>
      <scheme val="minor"/>
    </font>
    <font>
      <b/>
      <sz val="11"/>
      <color theme="0"/>
      <name val="Calibri"/>
      <family val="2"/>
      <scheme val="minor"/>
    </font>
    <font>
      <sz val="10"/>
      <color indexed="81"/>
      <name val="Times New Roman"/>
      <family val="1"/>
    </font>
    <font>
      <b/>
      <sz val="11"/>
      <color rgb="FF000000"/>
      <name val="Arial Narrow"/>
    </font>
    <font>
      <sz val="10"/>
      <color indexed="81"/>
      <name val="Calibri"/>
    </font>
    <font>
      <b/>
      <sz val="10"/>
      <color indexed="81"/>
      <name val="Calibri"/>
    </font>
    <font>
      <sz val="12"/>
      <color theme="1"/>
      <name val="Abadi MT Condensed Light"/>
    </font>
    <font>
      <b/>
      <sz val="12"/>
      <color theme="1"/>
      <name val="Abadi MT Condensed Light"/>
    </font>
    <font>
      <sz val="11"/>
      <color theme="1"/>
      <name val="Abadi MT Condensed Light"/>
    </font>
    <font>
      <b/>
      <sz val="11"/>
      <color theme="1"/>
      <name val="Abadi MT Condensed Light"/>
    </font>
    <font>
      <i/>
      <sz val="11"/>
      <color theme="1"/>
      <name val="Abadi MT Condensed Light"/>
    </font>
    <font>
      <sz val="9"/>
      <color theme="1"/>
      <name val="Abadi MT Condensed Light"/>
    </font>
    <font>
      <sz val="11"/>
      <color theme="0"/>
      <name val="Abadi MT Condensed Light"/>
    </font>
    <font>
      <b/>
      <sz val="11"/>
      <color theme="2" tint="-0.749992370372631"/>
      <name val="Abadi MT Condensed Light"/>
    </font>
    <font>
      <b/>
      <sz val="11"/>
      <color theme="0"/>
      <name val="Abadi MT Condensed Light"/>
    </font>
    <font>
      <b/>
      <sz val="11"/>
      <color rgb="FF3F3F76"/>
      <name val="Abadi MT Condensed Light"/>
    </font>
    <font>
      <b/>
      <sz val="11"/>
      <color rgb="FFFFFF00"/>
      <name val="Abadi MT Condensed Light"/>
    </font>
    <font>
      <b/>
      <i/>
      <u/>
      <sz val="11"/>
      <color theme="1"/>
      <name val="Abadi MT Condensed Light"/>
    </font>
    <font>
      <b/>
      <sz val="11"/>
      <color rgb="FF000000"/>
      <name val="Abadi MT Condensed Light"/>
    </font>
    <font>
      <sz val="11"/>
      <color rgb="FF3F3F76"/>
      <name val="Abadi MT Condensed Light"/>
    </font>
    <font>
      <sz val="11"/>
      <name val="Abadi MT Condensed Light"/>
    </font>
    <font>
      <b/>
      <sz val="11"/>
      <name val="Abadi MT Condensed Light"/>
    </font>
    <font>
      <b/>
      <sz val="11"/>
      <color indexed="10"/>
      <name val="Abadi MT Condensed Light"/>
    </font>
    <font>
      <sz val="11"/>
      <color indexed="8"/>
      <name val="Abadi MT Condensed Light"/>
    </font>
    <font>
      <b/>
      <sz val="11"/>
      <color indexed="8"/>
      <name val="Abadi MT Condensed Light"/>
    </font>
    <font>
      <b/>
      <u/>
      <sz val="11"/>
      <color indexed="8"/>
      <name val="Abadi MT Condensed Light"/>
    </font>
    <font>
      <b/>
      <i/>
      <sz val="11"/>
      <color indexed="8"/>
      <name val="Abadi MT Condensed Light"/>
    </font>
    <font>
      <i/>
      <sz val="11"/>
      <color indexed="8"/>
      <name val="Abadi MT Condensed Light"/>
    </font>
    <font>
      <b/>
      <sz val="10"/>
      <color theme="0"/>
      <name val="Abadi MT Condensed Light"/>
    </font>
    <font>
      <sz val="10"/>
      <color rgb="FF000000"/>
      <name val="Arial"/>
    </font>
    <font>
      <sz val="10"/>
      <name val="Abadi MT Condensed Light"/>
    </font>
    <font>
      <b/>
      <sz val="11"/>
      <color theme="1"/>
      <name val="Arial Narrow"/>
      <family val="2"/>
    </font>
    <font>
      <b/>
      <sz val="11"/>
      <color theme="0"/>
      <name val="Arial Narrow"/>
      <family val="2"/>
    </font>
    <font>
      <b/>
      <sz val="11"/>
      <color rgb="FF000000"/>
      <name val="Arial"/>
    </font>
    <font>
      <sz val="11"/>
      <color rgb="FF000000"/>
      <name val="Arial"/>
    </font>
    <font>
      <i/>
      <sz val="11"/>
      <color theme="1"/>
      <name val="Arial Narrow"/>
      <family val="2"/>
    </font>
    <font>
      <sz val="11"/>
      <color rgb="FF3F3F76"/>
      <name val="Arial Narrow"/>
      <family val="2"/>
    </font>
    <font>
      <sz val="11"/>
      <color rgb="FFFF0000"/>
      <name val="Arial Narrow"/>
    </font>
    <font>
      <i/>
      <sz val="11"/>
      <color theme="0"/>
      <name val="Arial Narrow"/>
      <family val="2"/>
    </font>
    <font>
      <b/>
      <sz val="11"/>
      <color indexed="10"/>
      <name val="Arial Narrow"/>
      <family val="2"/>
    </font>
    <font>
      <sz val="11"/>
      <color indexed="8"/>
      <name val="Arial Narrow"/>
      <family val="2"/>
    </font>
    <font>
      <b/>
      <sz val="11"/>
      <color indexed="8"/>
      <name val="Arial Narrow"/>
      <family val="2"/>
    </font>
    <font>
      <i/>
      <sz val="11"/>
      <color theme="1"/>
      <name val="Calibri"/>
      <scheme val="minor"/>
    </font>
    <font>
      <sz val="11"/>
      <name val="Arial Narrow"/>
      <family val="2"/>
    </font>
    <font>
      <sz val="11"/>
      <color theme="5" tint="0.59999389629810485"/>
      <name val="Arial Narrow"/>
    </font>
    <font>
      <b/>
      <u/>
      <sz val="11"/>
      <color indexed="8"/>
      <name val="Arial Narrow"/>
      <family val="2"/>
    </font>
    <font>
      <b/>
      <i/>
      <sz val="11"/>
      <color theme="1"/>
      <name val="Arial Narrow"/>
      <family val="2"/>
    </font>
    <font>
      <b/>
      <i/>
      <sz val="11"/>
      <color indexed="8"/>
      <name val="Arial Narrow"/>
      <family val="2"/>
    </font>
    <font>
      <i/>
      <sz val="11"/>
      <color indexed="8"/>
      <name val="Arial Narrow"/>
      <family val="2"/>
    </font>
    <font>
      <b/>
      <i/>
      <u/>
      <sz val="11"/>
      <color theme="1"/>
      <name val="Arial Narrow"/>
      <family val="2"/>
    </font>
    <font>
      <b/>
      <sz val="14"/>
      <color theme="1"/>
      <name val="Abadi MT Condensed Light"/>
    </font>
    <font>
      <b/>
      <sz val="14"/>
      <color theme="0"/>
      <name val="Abadi MT Condensed Light"/>
    </font>
    <font>
      <b/>
      <sz val="14"/>
      <color theme="1"/>
      <name val="Arial Narrow"/>
      <family val="2"/>
    </font>
    <font>
      <b/>
      <sz val="14"/>
      <color theme="1"/>
      <name val="Calibri"/>
      <family val="2"/>
      <scheme val="minor"/>
    </font>
    <font>
      <b/>
      <i/>
      <sz val="11"/>
      <color theme="1"/>
      <name val="Abadi MT Condensed Light"/>
    </font>
    <font>
      <b/>
      <sz val="9"/>
      <color indexed="81"/>
      <name val="Calibri"/>
      <family val="2"/>
    </font>
    <font>
      <sz val="9"/>
      <color indexed="81"/>
      <name val="Calibri"/>
      <family val="2"/>
    </font>
    <font>
      <u/>
      <sz val="9"/>
      <color indexed="81"/>
      <name val="Tahoma"/>
      <family val="2"/>
    </font>
    <font>
      <b/>
      <u/>
      <sz val="9"/>
      <color indexed="81"/>
      <name val="Tahoma"/>
      <family val="2"/>
    </font>
    <font>
      <sz val="11"/>
      <color rgb="FF000000"/>
      <name val="Abadi MT Condensed Light"/>
    </font>
    <font>
      <b/>
      <sz val="14"/>
      <name val="Abadi MT Condensed Light"/>
    </font>
    <font>
      <b/>
      <sz val="12"/>
      <color theme="1"/>
      <name val="Arial Narrow"/>
      <family val="2"/>
    </font>
    <font>
      <b/>
      <sz val="12"/>
      <color theme="4" tint="-0.249977111117893"/>
      <name val="Abadi MT Condensed Light"/>
    </font>
    <font>
      <b/>
      <sz val="12"/>
      <color theme="5" tint="-0.249977111117893"/>
      <name val="Abadi MT Condensed Light"/>
    </font>
    <font>
      <b/>
      <sz val="12"/>
      <color rgb="FF7030A0"/>
      <name val="Abadi MT Condensed Light"/>
    </font>
    <font>
      <b/>
      <sz val="12"/>
      <color rgb="FFFFC000"/>
      <name val="Abadi MT Condensed Light"/>
    </font>
    <font>
      <b/>
      <sz val="12"/>
      <color theme="9" tint="-0.249977111117893"/>
      <name val="Abadi MT Condensed Light"/>
    </font>
    <font>
      <b/>
      <sz val="12"/>
      <color theme="1" tint="0.34998626667073579"/>
      <name val="Abadi MT Condensed Light"/>
    </font>
    <font>
      <b/>
      <sz val="12"/>
      <color rgb="FF3F3F76"/>
      <name val="Abadi MT Condensed Light"/>
    </font>
    <font>
      <sz val="11"/>
      <color rgb="FFFF0000"/>
      <name val="Abadi MT Condensed Light"/>
    </font>
    <font>
      <sz val="11"/>
      <color theme="5" tint="0.59999389629810485"/>
      <name val="Abadi MT Condensed Light"/>
    </font>
    <font>
      <sz val="11"/>
      <color theme="1"/>
      <name val="Calibri"/>
      <family val="2"/>
    </font>
    <font>
      <i/>
      <sz val="11"/>
      <color rgb="FF000000"/>
      <name val="Calibri"/>
    </font>
    <font>
      <sz val="9"/>
      <color theme="1"/>
      <name val="Arial Narrow"/>
      <family val="2"/>
    </font>
    <font>
      <sz val="9"/>
      <color theme="1"/>
      <name val="Calibri"/>
      <family val="2"/>
      <scheme val="minor"/>
    </font>
    <font>
      <b/>
      <sz val="9"/>
      <color indexed="81"/>
      <name val="Segoe UI"/>
    </font>
    <font>
      <sz val="9"/>
      <color indexed="81"/>
      <name val="Segoe UI"/>
    </font>
    <font>
      <b/>
      <sz val="16"/>
      <color theme="1"/>
      <name val="Calibri"/>
      <family val="2"/>
      <scheme val="minor"/>
    </font>
    <font>
      <i/>
      <sz val="12"/>
      <color theme="1"/>
      <name val="Calibri"/>
      <scheme val="minor"/>
    </font>
    <font>
      <sz val="14"/>
      <color theme="1"/>
      <name val="Calibri"/>
      <family val="2"/>
      <scheme val="minor"/>
    </font>
    <font>
      <sz val="16"/>
      <color theme="1"/>
      <name val="Calibri"/>
      <family val="2"/>
      <scheme val="minor"/>
    </font>
    <font>
      <b/>
      <sz val="18"/>
      <color theme="1"/>
      <name val="Calibri"/>
      <family val="2"/>
      <scheme val="minor"/>
    </font>
    <font>
      <i/>
      <sz val="14"/>
      <color theme="1"/>
      <name val="Calibri"/>
      <scheme val="minor"/>
    </font>
    <font>
      <b/>
      <i/>
      <sz val="14"/>
      <color theme="1"/>
      <name val="Calibri"/>
      <scheme val="minor"/>
    </font>
    <font>
      <sz val="18"/>
      <color theme="1"/>
      <name val="Calibri"/>
      <family val="2"/>
      <scheme val="minor"/>
    </font>
    <font>
      <sz val="14"/>
      <color theme="2" tint="-0.499984740745262"/>
      <name val="Calibri (Body)"/>
    </font>
  </fonts>
  <fills count="44">
    <fill>
      <patternFill patternType="none"/>
    </fill>
    <fill>
      <patternFill patternType="gray125"/>
    </fill>
    <fill>
      <patternFill patternType="solid">
        <fgColor rgb="FFFFFFCC"/>
      </patternFill>
    </fill>
    <fill>
      <patternFill patternType="solid">
        <fgColor theme="4"/>
        <bgColor indexed="64"/>
      </patternFill>
    </fill>
    <fill>
      <patternFill patternType="solid">
        <fgColor rgb="FF4EBE91"/>
        <bgColor indexed="64"/>
      </patternFill>
    </fill>
    <fill>
      <patternFill patternType="solid">
        <fgColor rgb="FFFFFFFF"/>
        <bgColor indexed="64"/>
      </patternFill>
    </fill>
    <fill>
      <patternFill patternType="solid">
        <fgColor theme="4" tint="0.79998168889431442"/>
        <bgColor indexed="64"/>
      </patternFill>
    </fill>
    <fill>
      <patternFill patternType="solid">
        <fgColor rgb="FFE8E8E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9DC"/>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BFC4F1"/>
        <bgColor indexed="64"/>
      </patternFill>
    </fill>
    <fill>
      <patternFill patternType="solid">
        <fgColor rgb="FFA9AEEE"/>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2"/>
        <bgColor theme="4"/>
      </patternFill>
    </fill>
    <fill>
      <patternFill patternType="solid">
        <fgColor theme="2" tint="-0.249977111117893"/>
        <bgColor theme="4"/>
      </patternFill>
    </fill>
    <fill>
      <patternFill patternType="solid">
        <fgColor rgb="FFF1E6E4"/>
        <bgColor indexed="64"/>
      </patternFill>
    </fill>
    <fill>
      <patternFill patternType="solid">
        <fgColor rgb="FFAFA0CB"/>
        <bgColor theme="4"/>
      </patternFill>
    </fill>
    <fill>
      <patternFill patternType="solid">
        <fgColor theme="7" tint="0.79998168889431442"/>
        <bgColor theme="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rgb="FFFFFF00"/>
        <bgColor theme="4" tint="0.79998168889431442"/>
      </patternFill>
    </fill>
    <fill>
      <patternFill patternType="solid">
        <fgColor rgb="FFFFFFFF"/>
        <bgColor rgb="FF000000"/>
      </patternFill>
    </fill>
    <fill>
      <patternFill patternType="solid">
        <fgColor theme="4" tint="-0.499984740745262"/>
        <bgColor theme="4"/>
      </patternFill>
    </fill>
    <fill>
      <patternFill patternType="solid">
        <fgColor rgb="FF0070C0"/>
        <bgColor indexed="64"/>
      </patternFill>
    </fill>
    <fill>
      <patternFill patternType="solid">
        <fgColor theme="6" tint="0.79998168889431442"/>
        <bgColor indexed="64"/>
      </patternFill>
    </fill>
    <fill>
      <patternFill patternType="solid">
        <fgColor rgb="FFD6BBCF"/>
        <bgColor indexed="64"/>
      </patternFill>
    </fill>
  </fills>
  <borders count="25">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78">
    <xf numFmtId="0" fontId="0" fillId="0" borderId="0"/>
    <xf numFmtId="0" fontId="3" fillId="0" borderId="1"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2" fillId="2" borderId="2"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2" borderId="2" applyNumberFormat="0" applyFont="0" applyAlignment="0" applyProtection="0"/>
    <xf numFmtId="9" fontId="1" fillId="0" borderId="0" applyFont="0" applyFill="0" applyBorder="0" applyAlignment="0" applyProtection="0"/>
    <xf numFmtId="43" fontId="1" fillId="0" borderId="0" applyFont="0" applyFill="0" applyBorder="0" applyAlignment="0" applyProtection="0"/>
  </cellStyleXfs>
  <cellXfs count="599">
    <xf numFmtId="0" fontId="0" fillId="0" borderId="0" xfId="0"/>
    <xf numFmtId="0" fontId="9" fillId="11" borderId="0" xfId="0" applyFont="1" applyFill="1" applyBorder="1" applyAlignment="1">
      <alignment horizontal="left"/>
    </xf>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lignment horizontal="center" vertical="center"/>
    </xf>
    <xf numFmtId="0" fontId="9" fillId="9" borderId="3" xfId="1" applyFont="1" applyFill="1" applyBorder="1" applyAlignment="1">
      <alignment vertical="top" wrapText="1"/>
    </xf>
    <xf numFmtId="0" fontId="9" fillId="16" borderId="3" xfId="1" applyFont="1" applyFill="1" applyBorder="1" applyAlignment="1">
      <alignment vertical="top" wrapText="1"/>
    </xf>
    <xf numFmtId="0" fontId="9" fillId="8" borderId="3" xfId="0" applyFont="1" applyFill="1" applyBorder="1" applyAlignment="1">
      <alignment horizontal="left" vertical="top" wrapText="1"/>
    </xf>
    <xf numFmtId="0" fontId="9" fillId="14" borderId="3" xfId="0" applyFont="1" applyFill="1" applyBorder="1" applyAlignment="1">
      <alignment horizontal="left" vertical="top" wrapText="1"/>
    </xf>
    <xf numFmtId="0" fontId="24" fillId="0" borderId="3" xfId="0" applyFont="1" applyBorder="1"/>
    <xf numFmtId="0" fontId="24" fillId="0" borderId="3" xfId="0" applyFont="1" applyFill="1" applyBorder="1"/>
    <xf numFmtId="0" fontId="27" fillId="0" borderId="0" xfId="0" applyFont="1" applyBorder="1" applyAlignment="1">
      <alignment horizontal="left"/>
    </xf>
    <xf numFmtId="0" fontId="27" fillId="0" borderId="0" xfId="0" applyFont="1" applyBorder="1"/>
    <xf numFmtId="0" fontId="27" fillId="0" borderId="3" xfId="0" applyFont="1" applyBorder="1"/>
    <xf numFmtId="0" fontId="36" fillId="5" borderId="3" xfId="0" applyFont="1" applyFill="1" applyBorder="1" applyAlignment="1">
      <alignment vertical="center" wrapText="1"/>
    </xf>
    <xf numFmtId="0" fontId="27" fillId="6" borderId="3" xfId="0" applyFont="1" applyFill="1" applyBorder="1" applyAlignment="1">
      <alignment horizontal="center" vertical="center"/>
    </xf>
    <xf numFmtId="0" fontId="27" fillId="0" borderId="3" xfId="0" applyFont="1" applyFill="1" applyBorder="1"/>
    <xf numFmtId="0" fontId="26" fillId="10" borderId="3" xfId="0" applyFont="1" applyFill="1" applyBorder="1" applyAlignment="1">
      <alignment horizontal="center" vertical="center" wrapText="1"/>
    </xf>
    <xf numFmtId="0" fontId="26" fillId="10" borderId="3" xfId="0" applyFont="1" applyFill="1" applyBorder="1" applyAlignment="1">
      <alignment horizontal="center" vertical="center"/>
    </xf>
    <xf numFmtId="0" fontId="36" fillId="0" borderId="3" xfId="0" applyFont="1" applyFill="1" applyBorder="1" applyAlignment="1">
      <alignment vertical="center" wrapText="1"/>
    </xf>
    <xf numFmtId="0" fontId="27" fillId="6" borderId="7" xfId="0" applyFont="1" applyFill="1" applyBorder="1" applyAlignment="1">
      <alignment horizontal="center" vertical="center"/>
    </xf>
    <xf numFmtId="0" fontId="36" fillId="5" borderId="9" xfId="0" applyFont="1" applyFill="1" applyBorder="1" applyAlignment="1">
      <alignment vertical="center" wrapText="1"/>
    </xf>
    <xf numFmtId="0" fontId="36" fillId="7" borderId="3" xfId="0" applyFont="1" applyFill="1" applyBorder="1" applyAlignment="1">
      <alignment vertical="center" wrapText="1"/>
    </xf>
    <xf numFmtId="0" fontId="36" fillId="5" borderId="3" xfId="0" applyFont="1" applyFill="1" applyBorder="1" applyAlignment="1">
      <alignment vertical="top" wrapText="1"/>
    </xf>
    <xf numFmtId="0" fontId="27" fillId="6" borderId="6" xfId="0" applyFont="1" applyFill="1" applyBorder="1" applyAlignment="1">
      <alignment horizontal="center" vertical="center"/>
    </xf>
    <xf numFmtId="0" fontId="26" fillId="0" borderId="3" xfId="0" applyFont="1" applyFill="1" applyBorder="1" applyAlignment="1">
      <alignment horizontal="left" vertical="center" wrapText="1"/>
    </xf>
    <xf numFmtId="3" fontId="26" fillId="25" borderId="3" xfId="0" applyNumberFormat="1" applyFont="1" applyFill="1" applyBorder="1" applyAlignment="1">
      <alignment horizontal="right" vertical="center"/>
    </xf>
    <xf numFmtId="0" fontId="9" fillId="9" borderId="0" xfId="1" applyFont="1" applyFill="1" applyBorder="1" applyAlignment="1">
      <alignment vertical="top" wrapText="1"/>
    </xf>
    <xf numFmtId="0" fontId="9" fillId="14" borderId="0" xfId="0" applyFont="1" applyFill="1" applyBorder="1" applyAlignment="1">
      <alignment horizontal="left" vertical="top" wrapText="1"/>
    </xf>
    <xf numFmtId="0" fontId="9" fillId="16" borderId="0" xfId="1" applyFont="1" applyFill="1" applyBorder="1" applyAlignment="1">
      <alignment vertical="top" wrapText="1"/>
    </xf>
    <xf numFmtId="0" fontId="9" fillId="8" borderId="0" xfId="0" applyFont="1" applyFill="1" applyBorder="1" applyAlignment="1">
      <alignment horizontal="left" vertical="top" wrapText="1"/>
    </xf>
    <xf numFmtId="0" fontId="8" fillId="0" borderId="0" xfId="0" applyFont="1" applyBorder="1"/>
    <xf numFmtId="0" fontId="50" fillId="11" borderId="18" xfId="0" applyFont="1" applyFill="1" applyBorder="1" applyAlignment="1">
      <alignment horizontal="left" vertical="center"/>
    </xf>
    <xf numFmtId="10" fontId="49" fillId="25" borderId="18" xfId="0" applyNumberFormat="1" applyFont="1" applyFill="1" applyBorder="1" applyAlignment="1">
      <alignment horizontal="left" vertical="top"/>
    </xf>
    <xf numFmtId="0" fontId="49" fillId="27" borderId="18" xfId="0" applyFont="1" applyFill="1" applyBorder="1" applyAlignment="1">
      <alignment horizontal="left" vertical="top"/>
    </xf>
    <xf numFmtId="0" fontId="52" fillId="27" borderId="18" xfId="0" applyFont="1" applyFill="1" applyBorder="1" applyAlignment="1">
      <alignment vertical="top" wrapText="1"/>
    </xf>
    <xf numFmtId="0" fontId="52" fillId="27" borderId="18" xfId="0" applyFont="1" applyFill="1" applyBorder="1" applyAlignment="1">
      <alignment horizontal="left" vertical="top" wrapText="1"/>
    </xf>
    <xf numFmtId="0" fontId="9" fillId="21" borderId="18" xfId="0" applyFont="1" applyFill="1" applyBorder="1" applyAlignment="1">
      <alignment vertical="top" wrapText="1"/>
    </xf>
    <xf numFmtId="0" fontId="8" fillId="29" borderId="18" xfId="0" applyFont="1" applyFill="1" applyBorder="1" applyAlignment="1">
      <alignment vertical="top"/>
    </xf>
    <xf numFmtId="0" fontId="8" fillId="29" borderId="18" xfId="0" applyFont="1" applyFill="1" applyBorder="1" applyAlignment="1">
      <alignment vertical="top" wrapText="1"/>
    </xf>
    <xf numFmtId="0" fontId="15" fillId="11" borderId="18" xfId="0" applyFont="1" applyFill="1" applyBorder="1" applyAlignment="1">
      <alignment horizontal="left" wrapText="1"/>
    </xf>
    <xf numFmtId="0" fontId="53" fillId="14" borderId="18" xfId="0" applyFont="1" applyFill="1" applyBorder="1" applyAlignment="1">
      <alignment horizontal="left" vertical="top"/>
    </xf>
    <xf numFmtId="0" fontId="9" fillId="14" borderId="18" xfId="0" applyFont="1" applyFill="1" applyBorder="1" applyAlignment="1">
      <alignment horizontal="left" vertical="top"/>
    </xf>
    <xf numFmtId="0" fontId="9" fillId="10" borderId="3" xfId="0" applyFont="1" applyFill="1" applyBorder="1" applyAlignment="1">
      <alignment horizontal="center" vertical="center" wrapText="1"/>
    </xf>
    <xf numFmtId="0" fontId="49" fillId="29" borderId="18" xfId="0" applyFont="1" applyFill="1" applyBorder="1" applyAlignment="1">
      <alignment horizontal="left" vertical="center"/>
    </xf>
    <xf numFmtId="0" fontId="49" fillId="25" borderId="18" xfId="0" applyFont="1" applyFill="1" applyBorder="1" applyAlignment="1">
      <alignment horizontal="left" vertical="top"/>
    </xf>
    <xf numFmtId="0" fontId="49" fillId="0" borderId="18" xfId="0" applyFont="1" applyBorder="1" applyAlignment="1">
      <alignment horizontal="left" vertical="center"/>
    </xf>
    <xf numFmtId="0" fontId="8" fillId="0" borderId="18" xfId="0" applyFont="1" applyBorder="1" applyAlignment="1">
      <alignment vertical="top"/>
    </xf>
    <xf numFmtId="0" fontId="55" fillId="21" borderId="18" xfId="0" applyFont="1" applyFill="1" applyBorder="1" applyAlignment="1">
      <alignment vertical="top" wrapText="1"/>
    </xf>
    <xf numFmtId="0" fontId="9" fillId="0" borderId="18" xfId="0" applyFont="1" applyBorder="1" applyAlignment="1">
      <alignment horizontal="left" wrapText="1"/>
    </xf>
    <xf numFmtId="0" fontId="9" fillId="25" borderId="18" xfId="0" applyFont="1" applyFill="1" applyBorder="1" applyAlignment="1">
      <alignment horizontal="left" vertical="top" wrapText="1"/>
    </xf>
    <xf numFmtId="0" fontId="9" fillId="29" borderId="18" xfId="0" applyFont="1" applyFill="1" applyBorder="1" applyAlignment="1">
      <alignment horizontal="left" wrapText="1"/>
    </xf>
    <xf numFmtId="0" fontId="56" fillId="11" borderId="18" xfId="0" applyFont="1" applyFill="1" applyBorder="1" applyAlignment="1">
      <alignment horizontal="left" wrapText="1"/>
    </xf>
    <xf numFmtId="0" fontId="8" fillId="0" borderId="18" xfId="0" applyFont="1" applyBorder="1" applyAlignment="1">
      <alignment vertical="top" wrapText="1"/>
    </xf>
    <xf numFmtId="0" fontId="8" fillId="0" borderId="18" xfId="0" applyFont="1" applyBorder="1"/>
    <xf numFmtId="0" fontId="9" fillId="21" borderId="3" xfId="0" applyFont="1" applyFill="1" applyBorder="1" applyAlignment="1">
      <alignment horizontal="left" vertical="top"/>
    </xf>
    <xf numFmtId="0" fontId="49" fillId="25" borderId="18" xfId="0" applyFont="1" applyFill="1" applyBorder="1" applyAlignment="1">
      <alignment horizontal="left" vertical="center"/>
    </xf>
    <xf numFmtId="0" fontId="9" fillId="14" borderId="18" xfId="0" applyFont="1" applyFill="1" applyBorder="1" applyAlignment="1">
      <alignment horizontal="left"/>
    </xf>
    <xf numFmtId="0" fontId="9" fillId="10" borderId="18" xfId="0" applyFont="1" applyFill="1" applyBorder="1" applyAlignment="1">
      <alignment horizontal="center" vertical="center" wrapText="1"/>
    </xf>
    <xf numFmtId="0" fontId="8" fillId="0" borderId="3" xfId="0" applyFont="1" applyBorder="1"/>
    <xf numFmtId="0" fontId="50" fillId="11" borderId="3" xfId="0" applyFont="1" applyFill="1" applyBorder="1" applyAlignment="1">
      <alignment horizontal="left" vertical="center"/>
    </xf>
    <xf numFmtId="0" fontId="9" fillId="25" borderId="18" xfId="0" applyFont="1" applyFill="1" applyBorder="1" applyAlignment="1">
      <alignment horizontal="left" wrapText="1"/>
    </xf>
    <xf numFmtId="0" fontId="8" fillId="29" borderId="18" xfId="0" applyFont="1" applyFill="1" applyBorder="1"/>
    <xf numFmtId="0" fontId="8" fillId="29" borderId="3" xfId="0" applyFont="1" applyFill="1" applyBorder="1"/>
    <xf numFmtId="0" fontId="52" fillId="21" borderId="3" xfId="0" applyFont="1" applyFill="1" applyBorder="1" applyAlignment="1">
      <alignment horizontal="left" vertical="top" wrapText="1"/>
    </xf>
    <xf numFmtId="0" fontId="9" fillId="10" borderId="18" xfId="0" applyFont="1" applyFill="1" applyBorder="1" applyAlignment="1">
      <alignment horizontal="center" vertical="center"/>
    </xf>
    <xf numFmtId="0" fontId="8" fillId="0" borderId="3" xfId="0" applyFont="1" applyBorder="1" applyAlignment="1">
      <alignment vertical="top"/>
    </xf>
    <xf numFmtId="0" fontId="9" fillId="10" borderId="3" xfId="0" applyFont="1" applyFill="1" applyBorder="1" applyAlignment="1">
      <alignment horizontal="center" vertical="center"/>
    </xf>
    <xf numFmtId="0" fontId="8" fillId="29" borderId="3" xfId="0" applyFont="1" applyFill="1" applyBorder="1" applyAlignment="1">
      <alignment vertical="top"/>
    </xf>
    <xf numFmtId="0" fontId="50" fillId="11" borderId="3" xfId="0" applyFont="1" applyFill="1" applyBorder="1" applyAlignment="1">
      <alignment horizontal="left" vertical="top"/>
    </xf>
    <xf numFmtId="0" fontId="49" fillId="14" borderId="18" xfId="0" applyFont="1" applyFill="1" applyBorder="1" applyAlignment="1">
      <alignment horizontal="center" vertical="top"/>
    </xf>
    <xf numFmtId="0" fontId="62" fillId="21" borderId="18" xfId="0" applyFont="1" applyFill="1" applyBorder="1" applyAlignment="1">
      <alignment vertical="top" wrapText="1"/>
    </xf>
    <xf numFmtId="0" fontId="9" fillId="21" borderId="18" xfId="0" applyFont="1" applyFill="1" applyBorder="1" applyAlignment="1">
      <alignment wrapText="1"/>
    </xf>
    <xf numFmtId="0" fontId="9" fillId="21" borderId="3" xfId="0" applyFont="1" applyFill="1" applyBorder="1" applyAlignment="1">
      <alignment wrapText="1"/>
    </xf>
    <xf numFmtId="0" fontId="50" fillId="11" borderId="3" xfId="0" applyFont="1" applyFill="1" applyBorder="1" applyAlignment="1">
      <alignment horizontal="center" vertical="center"/>
    </xf>
    <xf numFmtId="0" fontId="49" fillId="14" borderId="18" xfId="0" applyFont="1" applyFill="1" applyBorder="1" applyAlignment="1">
      <alignment horizontal="left" vertical="center"/>
    </xf>
    <xf numFmtId="0" fontId="64" fillId="29" borderId="18" xfId="0" applyFont="1" applyFill="1" applyBorder="1" applyAlignment="1">
      <alignment horizontal="left" vertical="center"/>
    </xf>
    <xf numFmtId="0" fontId="64" fillId="25" borderId="18" xfId="0" applyFont="1" applyFill="1" applyBorder="1" applyAlignment="1">
      <alignment horizontal="left" vertical="top"/>
    </xf>
    <xf numFmtId="0" fontId="50" fillId="11" borderId="18" xfId="0" applyFont="1" applyFill="1" applyBorder="1" applyAlignment="1">
      <alignment horizontal="left" vertical="top"/>
    </xf>
    <xf numFmtId="0" fontId="49" fillId="27" borderId="18" xfId="0" applyFont="1" applyFill="1" applyBorder="1" applyAlignment="1">
      <alignment horizontal="center" vertical="center"/>
    </xf>
    <xf numFmtId="0" fontId="49" fillId="0" borderId="0" xfId="0" applyFont="1" applyBorder="1" applyAlignment="1">
      <alignment horizontal="left"/>
    </xf>
    <xf numFmtId="0" fontId="8" fillId="0" borderId="0" xfId="0" applyFont="1" applyFill="1" applyBorder="1"/>
    <xf numFmtId="0" fontId="8" fillId="0" borderId="0" xfId="0" applyFont="1"/>
    <xf numFmtId="0" fontId="9" fillId="9" borderId="3" xfId="1" applyFont="1" applyFill="1" applyBorder="1" applyAlignment="1">
      <alignment horizontal="left" vertical="top" wrapText="1"/>
    </xf>
    <xf numFmtId="0" fontId="9" fillId="9" borderId="0" xfId="1" applyFont="1" applyFill="1" applyBorder="1" applyAlignment="1">
      <alignment horizontal="left" vertical="top" wrapText="1"/>
    </xf>
    <xf numFmtId="0" fontId="9" fillId="15" borderId="3" xfId="0" applyFont="1" applyFill="1" applyBorder="1" applyAlignment="1">
      <alignment horizontal="left" vertical="top" wrapText="1"/>
    </xf>
    <xf numFmtId="0" fontId="9" fillId="15" borderId="0" xfId="0" applyFont="1" applyFill="1" applyBorder="1" applyAlignment="1">
      <alignment horizontal="left" vertical="top" wrapText="1"/>
    </xf>
    <xf numFmtId="0" fontId="49" fillId="0" borderId="0" xfId="0" applyFont="1" applyBorder="1" applyAlignment="1">
      <alignment horizontal="left" wrapText="1"/>
    </xf>
    <xf numFmtId="0" fontId="26" fillId="25" borderId="3" xfId="0" applyFont="1" applyFill="1" applyBorder="1" applyAlignment="1">
      <alignment horizontal="right" vertical="center" wrapText="1"/>
    </xf>
    <xf numFmtId="0" fontId="26" fillId="25" borderId="3" xfId="0" applyFont="1" applyFill="1" applyBorder="1" applyAlignment="1">
      <alignment horizontal="right" vertical="center"/>
    </xf>
    <xf numFmtId="0" fontId="28" fillId="25" borderId="3" xfId="0" applyFont="1" applyFill="1" applyBorder="1" applyAlignment="1">
      <alignment horizontal="right" vertical="center"/>
    </xf>
    <xf numFmtId="0" fontId="27" fillId="22" borderId="9" xfId="0" applyFont="1" applyFill="1" applyBorder="1" applyAlignment="1">
      <alignment horizontal="center" vertical="center"/>
    </xf>
    <xf numFmtId="0" fontId="27" fillId="22" borderId="17" xfId="0" applyFont="1" applyFill="1" applyBorder="1" applyAlignment="1">
      <alignment horizontal="center" vertical="center"/>
    </xf>
    <xf numFmtId="0" fontId="27" fillId="22" borderId="7" xfId="0" applyFont="1" applyFill="1" applyBorder="1" applyAlignment="1">
      <alignment horizontal="center" vertical="center"/>
    </xf>
    <xf numFmtId="0" fontId="27" fillId="22" borderId="14" xfId="0" applyFont="1" applyFill="1" applyBorder="1" applyAlignment="1">
      <alignment horizontal="center" vertical="center"/>
    </xf>
    <xf numFmtId="0" fontId="27" fillId="22" borderId="3" xfId="0" applyFont="1" applyFill="1" applyBorder="1" applyAlignment="1">
      <alignment horizontal="center" vertical="center"/>
    </xf>
    <xf numFmtId="0" fontId="9" fillId="21" borderId="3" xfId="0" applyFont="1" applyFill="1" applyBorder="1" applyAlignment="1">
      <alignment vertical="top" wrapText="1"/>
    </xf>
    <xf numFmtId="0" fontId="50" fillId="11" borderId="3" xfId="0" applyFont="1" applyFill="1" applyBorder="1" applyAlignment="1">
      <alignment horizontal="center" vertical="top"/>
    </xf>
    <xf numFmtId="0" fontId="26" fillId="11"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Border="1" applyAlignment="1">
      <alignment vertical="center" wrapText="1"/>
    </xf>
    <xf numFmtId="3" fontId="26" fillId="25" borderId="3" xfId="0" applyNumberFormat="1" applyFont="1" applyFill="1" applyBorder="1" applyAlignment="1">
      <alignment horizontal="right" vertical="center" wrapText="1"/>
    </xf>
    <xf numFmtId="0" fontId="9" fillId="0" borderId="0" xfId="0" applyFont="1" applyBorder="1" applyAlignment="1">
      <alignment horizontal="right" vertical="center"/>
    </xf>
    <xf numFmtId="0" fontId="9" fillId="0" borderId="0" xfId="0" applyFont="1" applyFill="1" applyBorder="1" applyAlignment="1">
      <alignment horizontal="right" vertical="center"/>
    </xf>
    <xf numFmtId="0" fontId="8" fillId="0" borderId="0" xfId="0" applyFont="1" applyBorder="1" applyAlignment="1">
      <alignment horizontal="right" vertical="center"/>
    </xf>
    <xf numFmtId="0" fontId="32" fillId="28" borderId="3"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21" fillId="16" borderId="3" xfId="0" applyFont="1" applyFill="1" applyBorder="1" applyAlignment="1">
      <alignment horizontal="left" vertical="center" wrapText="1"/>
    </xf>
    <xf numFmtId="0" fontId="50" fillId="23" borderId="3"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9" xfId="0" applyFont="1" applyFill="1" applyBorder="1" applyAlignment="1">
      <alignment horizontal="left" vertical="center"/>
    </xf>
    <xf numFmtId="0" fontId="26" fillId="9" borderId="3" xfId="1"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16" borderId="3" xfId="1" applyFont="1" applyFill="1" applyBorder="1" applyAlignment="1">
      <alignment horizontal="left" vertical="center" wrapText="1"/>
    </xf>
    <xf numFmtId="0" fontId="26" fillId="15" borderId="3" xfId="0" applyFont="1" applyFill="1" applyBorder="1" applyAlignment="1">
      <alignment horizontal="left" vertical="center" wrapText="1"/>
    </xf>
    <xf numFmtId="0" fontId="26" fillId="8" borderId="3" xfId="0" applyFont="1" applyFill="1" applyBorder="1" applyAlignment="1">
      <alignment horizontal="left" vertical="center" wrapText="1"/>
    </xf>
    <xf numFmtId="0" fontId="8" fillId="0" borderId="0" xfId="0" applyFont="1" applyBorder="1" applyAlignment="1">
      <alignment horizontal="left" vertical="center"/>
    </xf>
    <xf numFmtId="0" fontId="26" fillId="0" borderId="0" xfId="0" applyFont="1" applyFill="1" applyBorder="1" applyAlignment="1">
      <alignment wrapText="1"/>
    </xf>
    <xf numFmtId="0" fontId="8" fillId="32" borderId="3" xfId="0" applyFont="1" applyFill="1" applyBorder="1"/>
    <xf numFmtId="0" fontId="26" fillId="32" borderId="3" xfId="0" applyFont="1" applyFill="1" applyBorder="1"/>
    <xf numFmtId="0" fontId="32" fillId="33" borderId="3" xfId="0" applyFont="1" applyFill="1" applyBorder="1" applyAlignment="1">
      <alignment horizontal="left" vertical="center" wrapText="1"/>
    </xf>
    <xf numFmtId="0" fontId="69" fillId="28" borderId="3" xfId="0" applyFont="1" applyFill="1" applyBorder="1" applyAlignment="1">
      <alignment horizontal="left" vertical="center" wrapText="1"/>
    </xf>
    <xf numFmtId="0" fontId="68" fillId="0" borderId="6" xfId="0" applyFont="1" applyFill="1" applyBorder="1" applyAlignment="1">
      <alignment horizontal="left" vertical="center" wrapText="1"/>
    </xf>
    <xf numFmtId="0" fontId="68" fillId="0" borderId="3" xfId="0" applyFont="1" applyFill="1" applyBorder="1" applyAlignment="1">
      <alignment horizontal="left" vertical="center" wrapText="1"/>
    </xf>
    <xf numFmtId="0" fontId="68" fillId="24" borderId="3" xfId="0" applyFont="1" applyFill="1" applyBorder="1" applyAlignment="1">
      <alignment horizontal="left" vertical="center" wrapText="1"/>
    </xf>
    <xf numFmtId="0" fontId="70" fillId="0" borderId="0" xfId="0" applyFont="1" applyBorder="1" applyAlignment="1">
      <alignment horizontal="left" vertical="center" wrapText="1"/>
    </xf>
    <xf numFmtId="0" fontId="71" fillId="0" borderId="0" xfId="0" applyFont="1" applyFill="1" applyBorder="1" applyAlignment="1">
      <alignment horizontal="left" vertical="center" wrapText="1"/>
    </xf>
    <xf numFmtId="0" fontId="26" fillId="0" borderId="0" xfId="0" applyFont="1" applyBorder="1" applyAlignment="1">
      <alignment wrapText="1"/>
    </xf>
    <xf numFmtId="0" fontId="8" fillId="21" borderId="3" xfId="0" applyFont="1" applyFill="1" applyBorder="1"/>
    <xf numFmtId="0" fontId="8" fillId="32" borderId="3" xfId="0" applyFont="1" applyFill="1" applyBorder="1" applyAlignment="1">
      <alignment horizontal="left" vertical="center"/>
    </xf>
    <xf numFmtId="0" fontId="26" fillId="32" borderId="3" xfId="0" applyFont="1" applyFill="1" applyBorder="1" applyAlignment="1">
      <alignment horizontal="left" vertical="center"/>
    </xf>
    <xf numFmtId="0" fontId="46" fillId="32" borderId="3" xfId="0" applyFont="1" applyFill="1" applyBorder="1" applyAlignment="1">
      <alignment horizontal="left" vertical="center" wrapText="1"/>
    </xf>
    <xf numFmtId="0" fontId="48" fillId="32" borderId="3" xfId="0" applyFont="1" applyFill="1" applyBorder="1" applyAlignment="1">
      <alignment horizontal="left" vertical="center" wrapText="1"/>
    </xf>
    <xf numFmtId="0" fontId="48" fillId="32" borderId="3" xfId="0" quotePrefix="1" applyFont="1" applyFill="1" applyBorder="1" applyAlignment="1">
      <alignment horizontal="left" vertical="center" wrapText="1"/>
    </xf>
    <xf numFmtId="0" fontId="26" fillId="32" borderId="3" xfId="0" applyFont="1" applyFill="1" applyBorder="1" applyAlignment="1">
      <alignment horizontal="left" vertical="center" wrapText="1"/>
    </xf>
    <xf numFmtId="0" fontId="38" fillId="32" borderId="3" xfId="0" applyFont="1" applyFill="1" applyBorder="1" applyAlignment="1">
      <alignment horizontal="left" vertical="center" wrapText="1"/>
    </xf>
    <xf numFmtId="0" fontId="72" fillId="34" borderId="3" xfId="0" applyFont="1" applyFill="1" applyBorder="1" applyAlignment="1">
      <alignment horizontal="left" vertical="center" wrapText="1"/>
    </xf>
    <xf numFmtId="0" fontId="31" fillId="30"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26" fillId="11" borderId="3" xfId="0" applyFont="1" applyFill="1" applyBorder="1" applyAlignment="1">
      <alignment horizontal="left" vertical="center" wrapText="1"/>
    </xf>
    <xf numFmtId="0" fontId="36" fillId="0" borderId="9" xfId="0" applyFont="1" applyFill="1" applyBorder="1" applyAlignment="1">
      <alignment vertical="center" wrapText="1"/>
    </xf>
    <xf numFmtId="0" fontId="49" fillId="14" borderId="3" xfId="0" applyFont="1" applyFill="1" applyBorder="1" applyAlignment="1">
      <alignment horizontal="left" vertical="center"/>
    </xf>
    <xf numFmtId="0" fontId="50" fillId="11" borderId="9" xfId="0" applyFont="1" applyFill="1" applyBorder="1" applyAlignment="1">
      <alignment horizontal="left" vertical="center"/>
    </xf>
    <xf numFmtId="0" fontId="49" fillId="14" borderId="9" xfId="0" applyFont="1" applyFill="1" applyBorder="1" applyAlignment="1">
      <alignment horizontal="left" vertical="center"/>
    </xf>
    <xf numFmtId="0" fontId="50" fillId="11" borderId="9" xfId="0" applyFont="1" applyFill="1" applyBorder="1" applyAlignment="1">
      <alignment horizontal="center" vertical="top"/>
    </xf>
    <xf numFmtId="0" fontId="50" fillId="11" borderId="9" xfId="0" applyFont="1" applyFill="1" applyBorder="1" applyAlignment="1">
      <alignment horizontal="center" vertical="center"/>
    </xf>
    <xf numFmtId="0" fontId="50" fillId="11" borderId="9" xfId="0" applyFont="1" applyFill="1" applyBorder="1" applyAlignment="1">
      <alignment horizontal="left" vertical="top"/>
    </xf>
    <xf numFmtId="12" fontId="8" fillId="0" borderId="0" xfId="0" applyNumberFormat="1" applyFont="1" applyBorder="1"/>
    <xf numFmtId="0" fontId="24" fillId="0" borderId="0" xfId="0" applyFont="1" applyBorder="1" applyAlignment="1">
      <alignment horizontal="right" vertical="center"/>
    </xf>
    <xf numFmtId="0" fontId="26" fillId="0" borderId="9" xfId="0" applyFont="1" applyFill="1" applyBorder="1" applyAlignment="1">
      <alignment horizontal="center" vertical="center" wrapText="1"/>
    </xf>
    <xf numFmtId="0" fontId="26" fillId="25" borderId="3" xfId="0" applyFont="1" applyFill="1" applyBorder="1" applyAlignment="1">
      <alignment horizontal="center" vertical="center"/>
    </xf>
    <xf numFmtId="0" fontId="38" fillId="0" borderId="9" xfId="0" applyFont="1" applyFill="1" applyBorder="1" applyAlignment="1">
      <alignment horizontal="center" vertical="center" wrapText="1"/>
    </xf>
    <xf numFmtId="0" fontId="38" fillId="25" borderId="3" xfId="0" applyFont="1" applyFill="1" applyBorder="1" applyAlignment="1">
      <alignment horizontal="center" vertical="center"/>
    </xf>
    <xf numFmtId="0" fontId="38" fillId="11" borderId="8"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38" fillId="11" borderId="3" xfId="0" applyFont="1" applyFill="1" applyBorder="1" applyAlignment="1">
      <alignment horizontal="left" vertical="center" wrapText="1"/>
    </xf>
    <xf numFmtId="0" fontId="26" fillId="20" borderId="3"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7" fillId="0" borderId="18" xfId="0" applyFont="1" applyBorder="1" applyAlignment="1">
      <alignment horizontal="left" vertical="center"/>
    </xf>
    <xf numFmtId="0" fontId="27" fillId="25" borderId="18" xfId="0" applyFont="1" applyFill="1" applyBorder="1" applyAlignment="1">
      <alignment horizontal="left" vertical="top"/>
    </xf>
    <xf numFmtId="10" fontId="27" fillId="25" borderId="18" xfId="0" applyNumberFormat="1" applyFont="1" applyFill="1" applyBorder="1" applyAlignment="1">
      <alignment horizontal="left" vertical="top"/>
    </xf>
    <xf numFmtId="0" fontId="26" fillId="0" borderId="18" xfId="0" applyFont="1" applyBorder="1" applyAlignment="1">
      <alignment vertical="top"/>
    </xf>
    <xf numFmtId="0" fontId="26" fillId="10" borderId="18" xfId="0" applyFont="1" applyFill="1" applyBorder="1" applyAlignment="1">
      <alignment horizontal="center" vertical="center"/>
    </xf>
    <xf numFmtId="0" fontId="26" fillId="0" borderId="3" xfId="0" applyFont="1" applyBorder="1" applyAlignment="1">
      <alignment vertical="top"/>
    </xf>
    <xf numFmtId="0" fontId="26" fillId="0" borderId="3" xfId="0" applyFont="1" applyBorder="1"/>
    <xf numFmtId="0" fontId="27" fillId="29" borderId="18" xfId="0" applyFont="1" applyFill="1" applyBorder="1" applyAlignment="1">
      <alignment horizontal="left" vertical="center"/>
    </xf>
    <xf numFmtId="0" fontId="27" fillId="14" borderId="18" xfId="0" applyFont="1" applyFill="1" applyBorder="1" applyAlignment="1">
      <alignment horizontal="left" vertical="top"/>
    </xf>
    <xf numFmtId="0" fontId="26" fillId="29" borderId="18" xfId="0" applyFont="1" applyFill="1" applyBorder="1" applyAlignment="1">
      <alignment vertical="top"/>
    </xf>
    <xf numFmtId="0" fontId="26" fillId="14" borderId="18" xfId="0" applyFont="1" applyFill="1" applyBorder="1" applyAlignment="1">
      <alignment horizontal="left" vertical="top"/>
    </xf>
    <xf numFmtId="0" fontId="27" fillId="0" borderId="18" xfId="0" applyFont="1" applyFill="1" applyBorder="1" applyAlignment="1">
      <alignment horizontal="left" vertical="center"/>
    </xf>
    <xf numFmtId="0" fontId="26" fillId="0" borderId="18" xfId="0" applyFont="1" applyFill="1" applyBorder="1" applyAlignment="1">
      <alignment vertical="top"/>
    </xf>
    <xf numFmtId="0" fontId="39" fillId="6" borderId="3" xfId="0" applyFont="1" applyFill="1" applyBorder="1" applyAlignment="1">
      <alignment horizontal="center" vertical="center"/>
    </xf>
    <xf numFmtId="0" fontId="39" fillId="22" borderId="9" xfId="0" applyFont="1" applyFill="1" applyBorder="1" applyAlignment="1">
      <alignment horizontal="center" vertical="center"/>
    </xf>
    <xf numFmtId="0" fontId="39" fillId="22" borderId="3" xfId="0" applyFont="1" applyFill="1" applyBorder="1" applyAlignment="1">
      <alignment horizontal="center" vertical="center"/>
    </xf>
    <xf numFmtId="0" fontId="39" fillId="0" borderId="18" xfId="0" applyFont="1" applyBorder="1" applyAlignment="1">
      <alignment horizontal="left" vertical="center"/>
    </xf>
    <xf numFmtId="10" fontId="39" fillId="25" borderId="18" xfId="0" applyNumberFormat="1" applyFont="1" applyFill="1" applyBorder="1" applyAlignment="1">
      <alignment horizontal="left" vertical="top"/>
    </xf>
    <xf numFmtId="0" fontId="38" fillId="14" borderId="18" xfId="0" applyFont="1" applyFill="1" applyBorder="1" applyAlignment="1">
      <alignment horizontal="left" vertical="top"/>
    </xf>
    <xf numFmtId="0" fontId="38" fillId="0" borderId="18" xfId="0" applyFont="1" applyBorder="1" applyAlignment="1">
      <alignment vertical="top"/>
    </xf>
    <xf numFmtId="0" fontId="38" fillId="32" borderId="3" xfId="0" applyFont="1" applyFill="1" applyBorder="1" applyAlignment="1">
      <alignment horizontal="left" vertical="center"/>
    </xf>
    <xf numFmtId="0" fontId="39" fillId="29" borderId="18" xfId="0" applyFont="1" applyFill="1" applyBorder="1" applyAlignment="1">
      <alignment horizontal="left" vertical="center"/>
    </xf>
    <xf numFmtId="10" fontId="39" fillId="25" borderId="18" xfId="0" applyNumberFormat="1" applyFont="1" applyFill="1" applyBorder="1" applyAlignment="1">
      <alignment horizontal="left" vertical="center"/>
    </xf>
    <xf numFmtId="0" fontId="38" fillId="14" borderId="18" xfId="0" applyFont="1" applyFill="1" applyBorder="1" applyAlignment="1">
      <alignment horizontal="left" vertical="center"/>
    </xf>
    <xf numFmtId="0" fontId="38" fillId="29" borderId="18" xfId="0" applyFont="1" applyFill="1" applyBorder="1" applyAlignment="1">
      <alignment vertical="center"/>
    </xf>
    <xf numFmtId="0" fontId="39" fillId="25" borderId="18" xfId="0" applyFont="1" applyFill="1" applyBorder="1" applyAlignment="1">
      <alignment horizontal="left" vertical="top"/>
    </xf>
    <xf numFmtId="0" fontId="38" fillId="29" borderId="18" xfId="0" applyFont="1" applyFill="1" applyBorder="1" applyAlignment="1">
      <alignment vertical="top"/>
    </xf>
    <xf numFmtId="0" fontId="38" fillId="32" borderId="3" xfId="0" applyFont="1" applyFill="1" applyBorder="1"/>
    <xf numFmtId="0" fontId="27" fillId="20" borderId="18" xfId="0" applyFont="1" applyFill="1" applyBorder="1" applyAlignment="1">
      <alignment horizontal="left" vertical="center"/>
    </xf>
    <xf numFmtId="0" fontId="27" fillId="20" borderId="18" xfId="0" applyFont="1" applyFill="1" applyBorder="1" applyAlignment="1">
      <alignment horizontal="left" vertical="top"/>
    </xf>
    <xf numFmtId="10" fontId="27" fillId="20" borderId="18" xfId="0" applyNumberFormat="1" applyFont="1" applyFill="1" applyBorder="1" applyAlignment="1">
      <alignment horizontal="left" vertical="top"/>
    </xf>
    <xf numFmtId="0" fontId="26" fillId="20" borderId="18" xfId="0" applyFont="1" applyFill="1" applyBorder="1" applyAlignment="1">
      <alignment horizontal="left" vertical="top"/>
    </xf>
    <xf numFmtId="0" fontId="26" fillId="20" borderId="18" xfId="0" applyFont="1" applyFill="1" applyBorder="1" applyAlignment="1">
      <alignment vertical="top"/>
    </xf>
    <xf numFmtId="0" fontId="26" fillId="20" borderId="3" xfId="0" applyFont="1" applyFill="1" applyBorder="1" applyAlignment="1">
      <alignment horizontal="left" vertical="center"/>
    </xf>
    <xf numFmtId="0" fontId="26" fillId="20" borderId="3" xfId="0" applyFont="1" applyFill="1" applyBorder="1"/>
    <xf numFmtId="0" fontId="27" fillId="36" borderId="18" xfId="0" applyFont="1" applyFill="1" applyBorder="1" applyAlignment="1">
      <alignment horizontal="left" vertical="center"/>
    </xf>
    <xf numFmtId="0" fontId="27" fillId="36" borderId="18" xfId="0" applyFont="1" applyFill="1" applyBorder="1" applyAlignment="1">
      <alignment horizontal="left" vertical="top"/>
    </xf>
    <xf numFmtId="10" fontId="27" fillId="36" borderId="18" xfId="0" applyNumberFormat="1" applyFont="1" applyFill="1" applyBorder="1" applyAlignment="1">
      <alignment horizontal="left" vertical="top"/>
    </xf>
    <xf numFmtId="0" fontId="26" fillId="36" borderId="18" xfId="0" applyFont="1" applyFill="1" applyBorder="1" applyAlignment="1">
      <alignment horizontal="left" vertical="top"/>
    </xf>
    <xf numFmtId="0" fontId="26" fillId="36" borderId="18" xfId="0" applyFont="1" applyFill="1" applyBorder="1" applyAlignment="1">
      <alignment vertical="top"/>
    </xf>
    <xf numFmtId="0" fontId="26" fillId="36" borderId="3" xfId="0" applyFont="1" applyFill="1" applyBorder="1" applyAlignment="1">
      <alignment horizontal="left" vertical="center"/>
    </xf>
    <xf numFmtId="0" fontId="26" fillId="36" borderId="3" xfId="0" applyFont="1" applyFill="1" applyBorder="1"/>
    <xf numFmtId="0" fontId="27" fillId="37" borderId="18" xfId="0" applyFont="1" applyFill="1" applyBorder="1" applyAlignment="1">
      <alignment horizontal="left" vertical="center"/>
    </xf>
    <xf numFmtId="0" fontId="26" fillId="37" borderId="18" xfId="0" applyFont="1" applyFill="1" applyBorder="1" applyAlignment="1">
      <alignment vertical="top"/>
    </xf>
    <xf numFmtId="0" fontId="27" fillId="38" borderId="18" xfId="0" applyFont="1" applyFill="1" applyBorder="1" applyAlignment="1">
      <alignment horizontal="left" vertical="center"/>
    </xf>
    <xf numFmtId="0" fontId="26" fillId="38" borderId="18" xfId="0" applyFont="1" applyFill="1" applyBorder="1" applyAlignment="1">
      <alignment vertical="top"/>
    </xf>
    <xf numFmtId="0" fontId="32" fillId="20" borderId="9" xfId="0" applyFont="1" applyFill="1" applyBorder="1" applyAlignment="1">
      <alignment horizontal="left" vertical="top"/>
    </xf>
    <xf numFmtId="0" fontId="27" fillId="25" borderId="18" xfId="0" applyFont="1" applyFill="1" applyBorder="1" applyAlignment="1">
      <alignment horizontal="left" vertical="center"/>
    </xf>
    <xf numFmtId="0" fontId="26" fillId="14" borderId="18" xfId="0" applyFont="1" applyFill="1" applyBorder="1" applyAlignment="1">
      <alignment horizontal="left"/>
    </xf>
    <xf numFmtId="0" fontId="26" fillId="29" borderId="18" xfId="0" applyFont="1" applyFill="1" applyBorder="1"/>
    <xf numFmtId="0" fontId="32" fillId="11" borderId="9" xfId="0" applyFont="1" applyFill="1" applyBorder="1" applyAlignment="1">
      <alignment horizontal="left" vertical="center"/>
    </xf>
    <xf numFmtId="0" fontId="26" fillId="0" borderId="18" xfId="0" applyFont="1" applyBorder="1"/>
    <xf numFmtId="0" fontId="68" fillId="0" borderId="3" xfId="0" applyFont="1" applyFill="1" applyBorder="1" applyAlignment="1">
      <alignment horizontal="left" vertical="top" wrapText="1"/>
    </xf>
    <xf numFmtId="0" fontId="78" fillId="0" borderId="3" xfId="0" applyFont="1" applyFill="1" applyBorder="1" applyAlignment="1">
      <alignment horizontal="left" vertical="top" wrapText="1"/>
    </xf>
    <xf numFmtId="0" fontId="9" fillId="21" borderId="3" xfId="0" applyFont="1" applyFill="1" applyBorder="1" applyAlignment="1">
      <alignment horizontal="left"/>
    </xf>
    <xf numFmtId="0" fontId="49" fillId="21" borderId="3" xfId="0" applyFont="1" applyFill="1" applyBorder="1" applyAlignment="1">
      <alignment horizontal="left" vertical="center"/>
    </xf>
    <xf numFmtId="3" fontId="9" fillId="21" borderId="3" xfId="0" applyNumberFormat="1" applyFont="1" applyFill="1" applyBorder="1" applyAlignment="1">
      <alignment horizontal="left" vertical="top"/>
    </xf>
    <xf numFmtId="0" fontId="49" fillId="21" borderId="3" xfId="0" applyFont="1" applyFill="1" applyBorder="1" applyAlignment="1">
      <alignment horizontal="center" vertical="top"/>
    </xf>
    <xf numFmtId="0" fontId="49" fillId="21" borderId="3" xfId="0" applyFont="1" applyFill="1" applyBorder="1" applyAlignment="1">
      <alignment horizontal="center" vertical="center"/>
    </xf>
    <xf numFmtId="0" fontId="52" fillId="21" borderId="3" xfId="0" applyFont="1" applyFill="1" applyBorder="1" applyAlignment="1">
      <alignment vertical="top" wrapText="1"/>
    </xf>
    <xf numFmtId="0" fontId="9" fillId="21" borderId="3" xfId="0" applyFont="1" applyFill="1" applyBorder="1" applyAlignment="1">
      <alignment horizontal="left" vertical="top" wrapText="1"/>
    </xf>
    <xf numFmtId="0" fontId="19" fillId="28" borderId="3" xfId="0" applyFont="1" applyFill="1" applyBorder="1" applyAlignment="1">
      <alignment horizontal="left" vertical="center" wrapText="1"/>
    </xf>
    <xf numFmtId="0" fontId="9" fillId="11" borderId="18" xfId="0" applyFont="1" applyFill="1" applyBorder="1" applyAlignment="1">
      <alignment horizontal="center" vertical="center"/>
    </xf>
    <xf numFmtId="0" fontId="24" fillId="0" borderId="3" xfId="0" applyFont="1" applyBorder="1" applyAlignment="1">
      <alignment wrapText="1"/>
    </xf>
    <xf numFmtId="0" fontId="61" fillId="10" borderId="3" xfId="0" applyFont="1" applyFill="1" applyBorder="1" applyAlignment="1">
      <alignment horizontal="center" vertical="center" wrapText="1"/>
    </xf>
    <xf numFmtId="0" fontId="32" fillId="11" borderId="3" xfId="0" applyFont="1" applyFill="1" applyBorder="1" applyAlignment="1">
      <alignment horizontal="left" vertical="center"/>
    </xf>
    <xf numFmtId="0" fontId="61" fillId="10" borderId="18" xfId="0" applyFont="1" applyFill="1" applyBorder="1" applyAlignment="1">
      <alignment horizontal="center" vertical="center"/>
    </xf>
    <xf numFmtId="0" fontId="78" fillId="0" borderId="3" xfId="0" applyFont="1" applyFill="1" applyBorder="1" applyAlignment="1">
      <alignment horizontal="left" vertical="center" wrapText="1"/>
    </xf>
    <xf numFmtId="0" fontId="26" fillId="29" borderId="3" xfId="0" applyFont="1" applyFill="1" applyBorder="1"/>
    <xf numFmtId="0" fontId="9" fillId="21" borderId="8" xfId="0" applyFont="1" applyFill="1" applyBorder="1" applyAlignment="1">
      <alignment horizontal="left" vertical="top"/>
    </xf>
    <xf numFmtId="0" fontId="26" fillId="20" borderId="18" xfId="0" applyFont="1" applyFill="1" applyBorder="1" applyAlignment="1">
      <alignment horizontal="center" vertical="center"/>
    </xf>
    <xf numFmtId="0" fontId="26" fillId="38" borderId="3" xfId="0" applyFont="1" applyFill="1" applyBorder="1" applyAlignment="1">
      <alignment vertical="top"/>
    </xf>
    <xf numFmtId="0" fontId="32" fillId="20" borderId="3" xfId="0" applyFont="1" applyFill="1" applyBorder="1" applyAlignment="1">
      <alignment horizontal="left" vertical="top"/>
    </xf>
    <xf numFmtId="0" fontId="36" fillId="5" borderId="6" xfId="0" applyFont="1" applyFill="1" applyBorder="1" applyAlignment="1">
      <alignment vertical="center" wrapText="1"/>
    </xf>
    <xf numFmtId="0" fontId="32" fillId="28" borderId="8" xfId="0" applyFont="1" applyFill="1" applyBorder="1" applyAlignment="1">
      <alignment horizontal="left" vertical="center" wrapText="1"/>
    </xf>
    <xf numFmtId="12" fontId="9" fillId="29" borderId="8" xfId="0" applyNumberFormat="1" applyFont="1" applyFill="1" applyBorder="1" applyAlignment="1">
      <alignment horizontal="center" vertical="center" wrapText="1"/>
    </xf>
    <xf numFmtId="9" fontId="9" fillId="29" borderId="8" xfId="0" applyNumberFormat="1" applyFont="1" applyFill="1" applyBorder="1" applyAlignment="1">
      <alignment horizontal="center" vertical="center" wrapText="1"/>
    </xf>
    <xf numFmtId="9" fontId="5" fillId="29" borderId="8" xfId="0" applyNumberFormat="1" applyFont="1" applyFill="1" applyBorder="1" applyAlignment="1">
      <alignment horizontal="center" vertical="center" wrapText="1"/>
    </xf>
    <xf numFmtId="0" fontId="8" fillId="29" borderId="8" xfId="0" applyFont="1" applyFill="1" applyBorder="1" applyAlignment="1">
      <alignment horizontal="center" vertical="center"/>
    </xf>
    <xf numFmtId="0" fontId="8" fillId="6" borderId="8" xfId="0" applyFont="1" applyFill="1" applyBorder="1" applyAlignment="1">
      <alignment horizontal="center" vertical="center"/>
    </xf>
    <xf numFmtId="0" fontId="0" fillId="29" borderId="8" xfId="0" applyFont="1" applyFill="1" applyBorder="1" applyAlignment="1">
      <alignment horizontal="center" vertical="center"/>
    </xf>
    <xf numFmtId="0" fontId="0" fillId="6"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25" fillId="0" borderId="0" xfId="0" applyFont="1" applyBorder="1" applyAlignment="1">
      <alignment horizontal="left"/>
    </xf>
    <xf numFmtId="0" fontId="25" fillId="0" borderId="0" xfId="0" applyFont="1" applyBorder="1" applyAlignment="1">
      <alignment horizontal="left" vertical="center" wrapText="1"/>
    </xf>
    <xf numFmtId="0" fontId="79" fillId="0" borderId="0" xfId="0" applyFont="1" applyBorder="1"/>
    <xf numFmtId="0" fontId="79" fillId="0" borderId="0" xfId="0" applyFont="1" applyFill="1" applyBorder="1"/>
    <xf numFmtId="0" fontId="79" fillId="0" borderId="0" xfId="0" applyFont="1" applyBorder="1" applyAlignment="1">
      <alignment horizontal="left" vertical="center"/>
    </xf>
    <xf numFmtId="0" fontId="80" fillId="0" borderId="0" xfId="0" applyFont="1" applyBorder="1" applyAlignment="1">
      <alignment horizontal="left"/>
    </xf>
    <xf numFmtId="0" fontId="25" fillId="0" borderId="0" xfId="0" applyFont="1" applyFill="1" applyBorder="1" applyAlignment="1">
      <alignment horizontal="center" vertical="center"/>
    </xf>
    <xf numFmtId="0" fontId="25" fillId="0" borderId="0" xfId="0" applyFont="1" applyBorder="1"/>
    <xf numFmtId="0" fontId="25" fillId="0" borderId="0" xfId="0" applyFont="1" applyFill="1" applyBorder="1" applyAlignment="1">
      <alignment horizontal="left"/>
    </xf>
    <xf numFmtId="0" fontId="85" fillId="0" borderId="0" xfId="0" applyFont="1" applyFill="1" applyBorder="1" applyAlignment="1">
      <alignment horizontal="left"/>
    </xf>
    <xf numFmtId="0" fontId="27" fillId="24" borderId="9" xfId="0" applyFont="1" applyFill="1" applyBorder="1" applyAlignment="1">
      <alignment horizontal="center" vertical="center"/>
    </xf>
    <xf numFmtId="0" fontId="26" fillId="0" borderId="7" xfId="0" applyFont="1" applyFill="1" applyBorder="1" applyAlignment="1">
      <alignment horizontal="center" vertical="center" wrapText="1"/>
    </xf>
    <xf numFmtId="0" fontId="26" fillId="0" borderId="9" xfId="0" applyFont="1" applyFill="1" applyBorder="1" applyAlignment="1">
      <alignment vertical="center" wrapText="1"/>
    </xf>
    <xf numFmtId="0" fontId="49" fillId="0" borderId="19" xfId="0" applyFont="1" applyBorder="1" applyAlignment="1">
      <alignment horizontal="left" vertical="center"/>
    </xf>
    <xf numFmtId="0" fontId="49" fillId="25" borderId="19" xfId="0" applyFont="1" applyFill="1" applyBorder="1" applyAlignment="1">
      <alignment horizontal="left" vertical="top"/>
    </xf>
    <xf numFmtId="10" fontId="49" fillId="25" borderId="19" xfId="0" applyNumberFormat="1" applyFont="1" applyFill="1" applyBorder="1" applyAlignment="1">
      <alignment horizontal="left" vertical="top"/>
    </xf>
    <xf numFmtId="0" fontId="9" fillId="14" borderId="19" xfId="0" applyFont="1" applyFill="1" applyBorder="1" applyAlignment="1">
      <alignment horizontal="left" vertical="top"/>
    </xf>
    <xf numFmtId="0" fontId="8" fillId="0" borderId="19" xfId="0" applyFont="1" applyBorder="1" applyAlignment="1">
      <alignment vertical="top"/>
    </xf>
    <xf numFmtId="0" fontId="49" fillId="11" borderId="3" xfId="0" applyFont="1" applyFill="1" applyBorder="1" applyAlignment="1">
      <alignment horizontal="left" vertical="center" wrapText="1"/>
    </xf>
    <xf numFmtId="0" fontId="51" fillId="27" borderId="3"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49" fillId="0" borderId="3" xfId="0" applyFont="1" applyBorder="1" applyAlignment="1">
      <alignment horizontal="left" vertical="center"/>
    </xf>
    <xf numFmtId="0" fontId="49" fillId="25" borderId="3" xfId="0" applyFont="1" applyFill="1" applyBorder="1" applyAlignment="1">
      <alignment horizontal="left" vertical="top"/>
    </xf>
    <xf numFmtId="10" fontId="49" fillId="25" borderId="3" xfId="0" applyNumberFormat="1" applyFont="1" applyFill="1" applyBorder="1" applyAlignment="1">
      <alignment horizontal="left" vertical="top"/>
    </xf>
    <xf numFmtId="0" fontId="49" fillId="29" borderId="3" xfId="0" applyFont="1" applyFill="1" applyBorder="1" applyAlignment="1">
      <alignment horizontal="left" vertical="center"/>
    </xf>
    <xf numFmtId="0" fontId="49" fillId="25" borderId="3" xfId="0" applyFont="1" applyFill="1" applyBorder="1" applyAlignment="1">
      <alignment horizontal="left" vertical="center"/>
    </xf>
    <xf numFmtId="0" fontId="9" fillId="14" borderId="3" xfId="0" applyFont="1" applyFill="1" applyBorder="1" applyAlignment="1">
      <alignment horizontal="left"/>
    </xf>
    <xf numFmtId="0" fontId="32" fillId="0" borderId="10" xfId="0" applyFont="1" applyFill="1" applyBorder="1" applyAlignment="1">
      <alignment horizontal="left" vertical="center" wrapText="1"/>
    </xf>
    <xf numFmtId="0" fontId="9" fillId="0" borderId="10" xfId="0" applyFont="1" applyFill="1" applyBorder="1" applyAlignment="1">
      <alignment horizontal="left"/>
    </xf>
    <xf numFmtId="0" fontId="39" fillId="24" borderId="9" xfId="0" applyFont="1" applyFill="1" applyBorder="1" applyAlignment="1">
      <alignment horizontal="center" vertical="center"/>
    </xf>
    <xf numFmtId="0" fontId="32" fillId="31" borderId="9"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49" fillId="0" borderId="0" xfId="0" applyFont="1" applyFill="1" applyBorder="1" applyAlignment="1">
      <alignment horizontal="left"/>
    </xf>
    <xf numFmtId="0" fontId="70"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6" fillId="0" borderId="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26" fillId="0" borderId="20"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19" fillId="28" borderId="9" xfId="0" applyFont="1" applyFill="1" applyBorder="1" applyAlignment="1">
      <alignment horizontal="left" vertical="center" wrapTex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6" fillId="0" borderId="10" xfId="0" applyFont="1" applyFill="1" applyBorder="1" applyAlignment="1">
      <alignment horizontal="left"/>
    </xf>
    <xf numFmtId="0" fontId="26" fillId="0" borderId="10" xfId="0" applyFont="1" applyFill="1" applyBorder="1" applyAlignment="1">
      <alignment horizontal="left" wrapText="1"/>
    </xf>
    <xf numFmtId="0" fontId="9" fillId="0" borderId="10" xfId="0" applyFont="1" applyFill="1" applyBorder="1" applyAlignment="1">
      <alignment horizontal="left" wrapText="1"/>
    </xf>
    <xf numFmtId="0" fontId="9" fillId="0" borderId="10" xfId="0" quotePrefix="1" applyFont="1" applyFill="1" applyBorder="1" applyAlignment="1">
      <alignment horizontal="left" wrapText="1"/>
    </xf>
    <xf numFmtId="0" fontId="26" fillId="0" borderId="10" xfId="0" applyFont="1" applyFill="1" applyBorder="1" applyAlignment="1">
      <alignment horizontal="left" vertical="center" wrapText="1"/>
    </xf>
    <xf numFmtId="0" fontId="26" fillId="11" borderId="8" xfId="0" applyFont="1" applyFill="1" applyBorder="1" applyAlignment="1">
      <alignment vertical="center" wrapText="1"/>
    </xf>
    <xf numFmtId="0" fontId="26" fillId="11" borderId="3" xfId="0" applyFont="1" applyFill="1" applyBorder="1" applyAlignment="1">
      <alignment vertical="center" wrapText="1"/>
    </xf>
    <xf numFmtId="0" fontId="26" fillId="35" borderId="8" xfId="0" applyFont="1" applyFill="1" applyBorder="1" applyAlignment="1">
      <alignment vertical="center" wrapText="1"/>
    </xf>
    <xf numFmtId="0" fontId="8" fillId="29" borderId="3" xfId="0" applyFont="1" applyFill="1" applyBorder="1" applyAlignment="1">
      <alignment vertical="center" wrapText="1"/>
    </xf>
    <xf numFmtId="0" fontId="26" fillId="11" borderId="5" xfId="0" applyFont="1" applyFill="1" applyBorder="1" applyAlignment="1">
      <alignment vertical="center" wrapText="1"/>
    </xf>
    <xf numFmtId="0" fontId="26" fillId="35" borderId="3" xfId="0" applyFont="1" applyFill="1" applyBorder="1" applyAlignment="1">
      <alignment vertical="center" wrapText="1"/>
    </xf>
    <xf numFmtId="0" fontId="26" fillId="0" borderId="3" xfId="0" applyFont="1" applyBorder="1" applyAlignment="1">
      <alignment wrapText="1"/>
    </xf>
    <xf numFmtId="0" fontId="9" fillId="0" borderId="3" xfId="0" applyFont="1" applyBorder="1" applyAlignment="1">
      <alignment wrapText="1"/>
    </xf>
    <xf numFmtId="0" fontId="9" fillId="20" borderId="3" xfId="0" applyFont="1" applyFill="1" applyBorder="1" applyAlignment="1">
      <alignment wrapText="1"/>
    </xf>
    <xf numFmtId="0" fontId="26" fillId="11" borderId="6" xfId="0" applyFont="1" applyFill="1" applyBorder="1" applyAlignment="1">
      <alignment vertical="center" wrapText="1"/>
    </xf>
    <xf numFmtId="0" fontId="9" fillId="0" borderId="3" xfId="0" applyFont="1" applyFill="1" applyBorder="1" applyAlignment="1">
      <alignment wrapText="1"/>
    </xf>
    <xf numFmtId="0" fontId="8" fillId="6" borderId="3" xfId="0" applyFont="1" applyFill="1" applyBorder="1" applyAlignment="1">
      <alignment vertical="center" wrapText="1"/>
    </xf>
    <xf numFmtId="0" fontId="26" fillId="11" borderId="3" xfId="0" quotePrefix="1" applyFont="1" applyFill="1" applyBorder="1" applyAlignment="1">
      <alignment vertical="center" wrapText="1"/>
    </xf>
    <xf numFmtId="0" fontId="26" fillId="11" borderId="0" xfId="0" applyFont="1" applyFill="1" applyBorder="1" applyAlignment="1">
      <alignment vertical="center" wrapText="1"/>
    </xf>
    <xf numFmtId="0" fontId="38" fillId="11" borderId="8" xfId="0" applyFont="1" applyFill="1" applyBorder="1" applyAlignment="1">
      <alignment vertical="center" wrapText="1"/>
    </xf>
    <xf numFmtId="0" fontId="77" fillId="39" borderId="8" xfId="0" applyFont="1" applyFill="1" applyBorder="1" applyAlignment="1">
      <alignment vertical="center" wrapText="1"/>
    </xf>
    <xf numFmtId="0" fontId="9" fillId="0" borderId="3" xfId="0" quotePrefix="1" applyFont="1" applyBorder="1" applyAlignment="1">
      <alignment wrapText="1"/>
    </xf>
    <xf numFmtId="0" fontId="26" fillId="20" borderId="8" xfId="0" applyFont="1" applyFill="1" applyBorder="1" applyAlignment="1">
      <alignment vertical="center" wrapText="1"/>
    </xf>
    <xf numFmtId="0" fontId="38" fillId="11" borderId="3" xfId="0" applyFont="1" applyFill="1" applyBorder="1" applyAlignment="1">
      <alignment vertical="center" wrapText="1"/>
    </xf>
    <xf numFmtId="0" fontId="26" fillId="36" borderId="8" xfId="0" applyFont="1" applyFill="1" applyBorder="1" applyAlignment="1">
      <alignment vertical="center" wrapText="1"/>
    </xf>
    <xf numFmtId="0" fontId="27" fillId="0" borderId="3" xfId="0" applyFont="1" applyFill="1" applyBorder="1" applyAlignment="1">
      <alignment wrapText="1"/>
    </xf>
    <xf numFmtId="0" fontId="26" fillId="29" borderId="3" xfId="0" applyFont="1" applyFill="1" applyBorder="1" applyAlignment="1">
      <alignment horizontal="left" vertical="center" wrapText="1"/>
    </xf>
    <xf numFmtId="0" fontId="26" fillId="29" borderId="9"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9" xfId="0" applyFont="1" applyFill="1" applyBorder="1" applyAlignment="1">
      <alignment horizontal="left" vertical="center" wrapText="1"/>
    </xf>
    <xf numFmtId="9" fontId="26" fillId="29" borderId="3" xfId="0" applyNumberFormat="1" applyFont="1" applyFill="1" applyBorder="1" applyAlignment="1">
      <alignment horizontal="left" vertical="center" wrapText="1"/>
    </xf>
    <xf numFmtId="0" fontId="26" fillId="29" borderId="5" xfId="0" applyFont="1" applyFill="1" applyBorder="1" applyAlignment="1">
      <alignment horizontal="left" vertical="center" wrapText="1"/>
    </xf>
    <xf numFmtId="0" fontId="26" fillId="20" borderId="9" xfId="0" applyFont="1" applyFill="1" applyBorder="1" applyAlignment="1">
      <alignment horizontal="left" vertical="center" wrapText="1"/>
    </xf>
    <xf numFmtId="49" fontId="26" fillId="6" borderId="3" xfId="0" applyNumberFormat="1" applyFont="1" applyFill="1" applyBorder="1" applyAlignment="1">
      <alignment horizontal="left" vertical="center" wrapText="1"/>
    </xf>
    <xf numFmtId="0" fontId="26" fillId="6" borderId="3" xfId="0" applyNumberFormat="1" applyFont="1" applyFill="1" applyBorder="1" applyAlignment="1">
      <alignment horizontal="left" vertical="center" wrapText="1"/>
    </xf>
    <xf numFmtId="0" fontId="26" fillId="29" borderId="6" xfId="0" applyFont="1" applyFill="1" applyBorder="1" applyAlignment="1">
      <alignment horizontal="left" vertical="center" wrapText="1"/>
    </xf>
    <xf numFmtId="0" fontId="87" fillId="6" borderId="3" xfId="0" applyFont="1" applyFill="1" applyBorder="1" applyAlignment="1">
      <alignment horizontal="left" vertical="center" wrapText="1"/>
    </xf>
    <xf numFmtId="0" fontId="87" fillId="6" borderId="9" xfId="0" applyFont="1" applyFill="1" applyBorder="1" applyAlignment="1">
      <alignment horizontal="left" vertical="center" wrapText="1"/>
    </xf>
    <xf numFmtId="0" fontId="26" fillId="38" borderId="3" xfId="0" applyFont="1" applyFill="1" applyBorder="1" applyAlignment="1">
      <alignment horizontal="left" vertical="center" wrapText="1"/>
    </xf>
    <xf numFmtId="0" fontId="26" fillId="38" borderId="9" xfId="0" applyFont="1" applyFill="1" applyBorder="1" applyAlignment="1">
      <alignment horizontal="left" vertical="center" wrapText="1"/>
    </xf>
    <xf numFmtId="0" fontId="87" fillId="29" borderId="3"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88" fillId="20" borderId="3" xfId="0" applyFont="1" applyFill="1" applyBorder="1" applyAlignment="1">
      <alignment horizontal="left" vertical="center" wrapText="1"/>
    </xf>
    <xf numFmtId="0" fontId="88" fillId="20" borderId="9" xfId="0" applyFont="1" applyFill="1" applyBorder="1" applyAlignment="1">
      <alignment horizontal="left" vertical="center" wrapText="1"/>
    </xf>
    <xf numFmtId="0" fontId="19" fillId="40" borderId="3" xfId="0" applyFont="1" applyFill="1" applyBorder="1" applyAlignment="1">
      <alignment horizontal="left" vertical="center" wrapText="1"/>
    </xf>
    <xf numFmtId="0" fontId="19" fillId="41" borderId="10" xfId="0" applyFont="1" applyFill="1" applyBorder="1" applyAlignment="1">
      <alignment horizontal="left" vertical="center" wrapText="1"/>
    </xf>
    <xf numFmtId="0" fontId="68" fillId="0" borderId="7" xfId="0" applyFont="1" applyFill="1" applyBorder="1" applyAlignment="1">
      <alignment horizontal="left" vertical="center" wrapText="1"/>
    </xf>
    <xf numFmtId="0" fontId="68" fillId="0" borderId="6" xfId="0" applyFont="1" applyFill="1" applyBorder="1" applyAlignment="1">
      <alignment horizontal="left" vertical="top" wrapText="1"/>
    </xf>
    <xf numFmtId="0" fontId="38" fillId="35" borderId="8" xfId="0" applyFont="1" applyFill="1" applyBorder="1" applyAlignment="1">
      <alignment vertical="center" wrapText="1"/>
    </xf>
    <xf numFmtId="0" fontId="8" fillId="6" borderId="10" xfId="0" applyFont="1" applyFill="1" applyBorder="1" applyAlignment="1">
      <alignment horizontal="center" vertical="center"/>
    </xf>
    <xf numFmtId="0" fontId="26" fillId="29" borderId="3" xfId="0" applyFont="1" applyFill="1" applyBorder="1" applyAlignment="1">
      <alignment vertical="center" wrapText="1"/>
    </xf>
    <xf numFmtId="0" fontId="26" fillId="29" borderId="3" xfId="0" quotePrefix="1" applyFont="1" applyFill="1" applyBorder="1" applyAlignment="1">
      <alignment vertical="center" wrapText="1"/>
    </xf>
    <xf numFmtId="0" fontId="26" fillId="29" borderId="9" xfId="0" applyFont="1" applyFill="1" applyBorder="1" applyAlignment="1">
      <alignment vertical="center" wrapText="1"/>
    </xf>
    <xf numFmtId="0" fontId="26" fillId="29" borderId="5" xfId="0" applyFont="1" applyFill="1" applyBorder="1" applyAlignment="1">
      <alignment vertical="center" wrapText="1"/>
    </xf>
    <xf numFmtId="0" fontId="38" fillId="29" borderId="3" xfId="0" applyFont="1" applyFill="1" applyBorder="1" applyAlignment="1">
      <alignment vertical="center" wrapText="1"/>
    </xf>
    <xf numFmtId="0" fontId="38" fillId="29" borderId="9" xfId="0" applyFont="1" applyFill="1" applyBorder="1" applyAlignment="1">
      <alignment vertical="center" wrapText="1"/>
    </xf>
    <xf numFmtId="0" fontId="38" fillId="6" borderId="3" xfId="0" applyFont="1" applyFill="1" applyBorder="1" applyAlignment="1">
      <alignment vertical="center" wrapText="1"/>
    </xf>
    <xf numFmtId="0" fontId="38" fillId="6" borderId="9" xfId="0" applyFont="1" applyFill="1" applyBorder="1" applyAlignment="1">
      <alignment vertical="center" wrapText="1"/>
    </xf>
    <xf numFmtId="0" fontId="26" fillId="6" borderId="3" xfId="0" applyFont="1" applyFill="1" applyBorder="1" applyAlignment="1">
      <alignment vertical="center" wrapText="1"/>
    </xf>
    <xf numFmtId="0" fontId="26" fillId="6" borderId="9" xfId="0" applyFont="1" applyFill="1" applyBorder="1" applyAlignment="1">
      <alignment vertical="center" wrapText="1"/>
    </xf>
    <xf numFmtId="0" fontId="26" fillId="29" borderId="6" xfId="0" applyFont="1" applyFill="1" applyBorder="1" applyAlignment="1">
      <alignment vertical="center" wrapText="1"/>
    </xf>
    <xf numFmtId="0" fontId="26" fillId="6" borderId="5" xfId="0" applyFont="1" applyFill="1" applyBorder="1" applyAlignment="1">
      <alignment vertical="center" wrapText="1"/>
    </xf>
    <xf numFmtId="0" fontId="26" fillId="6" borderId="6" xfId="0" applyFont="1" applyFill="1" applyBorder="1" applyAlignment="1">
      <alignment vertical="center" wrapText="1"/>
    </xf>
    <xf numFmtId="0" fontId="26" fillId="6" borderId="3" xfId="0" applyFont="1" applyFill="1" applyBorder="1" applyAlignment="1">
      <alignment vertical="center"/>
    </xf>
    <xf numFmtId="0" fontId="38" fillId="21" borderId="3" xfId="0" applyFont="1" applyFill="1" applyBorder="1" applyAlignment="1">
      <alignment horizontal="left" vertical="center" wrapText="1"/>
    </xf>
    <xf numFmtId="0" fontId="26" fillId="21" borderId="3" xfId="0" applyFont="1" applyFill="1" applyBorder="1" applyAlignment="1">
      <alignment horizontal="left" vertical="center" wrapText="1"/>
    </xf>
    <xf numFmtId="0" fontId="36" fillId="5" borderId="9" xfId="0" applyFont="1" applyFill="1" applyBorder="1" applyAlignment="1">
      <alignment vertical="top" wrapText="1"/>
    </xf>
    <xf numFmtId="0" fontId="24" fillId="0" borderId="6" xfId="0" applyFont="1" applyBorder="1"/>
    <xf numFmtId="0" fontId="36" fillId="0" borderId="6" xfId="0" applyFont="1" applyFill="1" applyBorder="1" applyAlignment="1">
      <alignment vertical="center" wrapText="1"/>
    </xf>
    <xf numFmtId="0" fontId="68" fillId="0" borderId="7" xfId="0" applyFont="1" applyFill="1" applyBorder="1" applyAlignment="1">
      <alignment horizontal="left" vertical="top" wrapText="1"/>
    </xf>
    <xf numFmtId="0" fontId="26" fillId="0" borderId="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9" fillId="21" borderId="0" xfId="0" applyFont="1" applyFill="1" applyBorder="1" applyAlignment="1">
      <alignment horizontal="left" vertical="top"/>
    </xf>
    <xf numFmtId="0" fontId="26" fillId="11" borderId="8" xfId="0" quotePrefix="1" applyFont="1" applyFill="1" applyBorder="1" applyAlignment="1">
      <alignment vertical="center" wrapText="1"/>
    </xf>
    <xf numFmtId="0" fontId="9" fillId="0" borderId="5" xfId="0" applyFont="1" applyBorder="1" applyAlignment="1">
      <alignment wrapText="1"/>
    </xf>
    <xf numFmtId="0" fontId="26" fillId="0" borderId="3" xfId="0" applyFont="1" applyFill="1" applyBorder="1" applyAlignment="1">
      <alignment vertical="center" wrapText="1"/>
    </xf>
    <xf numFmtId="0" fontId="26" fillId="11" borderId="11" xfId="0" applyFont="1" applyFill="1" applyBorder="1" applyAlignment="1">
      <alignment vertical="center" wrapText="1"/>
    </xf>
    <xf numFmtId="0" fontId="26" fillId="6" borderId="5"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8" fillId="6" borderId="3" xfId="0" applyFont="1" applyFill="1" applyBorder="1"/>
    <xf numFmtId="0" fontId="26" fillId="29" borderId="0" xfId="0" applyFont="1" applyFill="1" applyBorder="1" applyAlignment="1">
      <alignment horizontal="left" vertical="center" wrapText="1"/>
    </xf>
    <xf numFmtId="0" fontId="0" fillId="6" borderId="3" xfId="0" applyFill="1" applyBorder="1"/>
    <xf numFmtId="0" fontId="26" fillId="6" borderId="0" xfId="0" applyFont="1" applyFill="1" applyBorder="1" applyAlignment="1">
      <alignment horizontal="left" vertical="center" wrapText="1"/>
    </xf>
    <xf numFmtId="0" fontId="38" fillId="6" borderId="10" xfId="0" applyFont="1" applyFill="1" applyBorder="1" applyAlignment="1">
      <alignment vertical="center"/>
    </xf>
    <xf numFmtId="0" fontId="8" fillId="0" borderId="6" xfId="0" applyFont="1" applyFill="1" applyBorder="1" applyAlignment="1">
      <alignment horizontal="center" vertical="center" wrapText="1"/>
    </xf>
    <xf numFmtId="0" fontId="5" fillId="0" borderId="3" xfId="0" applyFont="1" applyFill="1" applyBorder="1" applyAlignment="1">
      <alignment horizontal="center" vertical="center"/>
    </xf>
    <xf numFmtId="0" fontId="26" fillId="6" borderId="10" xfId="0" applyFont="1" applyFill="1" applyBorder="1" applyAlignment="1">
      <alignment vertical="center"/>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9" fillId="0" borderId="0" xfId="0" applyFont="1" applyFill="1"/>
    <xf numFmtId="166" fontId="89" fillId="0" borderId="0" xfId="0" applyNumberFormat="1" applyFont="1" applyFill="1"/>
    <xf numFmtId="164" fontId="90" fillId="0" borderId="3" xfId="0" applyNumberFormat="1" applyFont="1" applyFill="1" applyBorder="1"/>
    <xf numFmtId="49" fontId="26" fillId="0" borderId="3" xfId="0" applyNumberFormat="1" applyFont="1" applyFill="1" applyBorder="1" applyAlignment="1">
      <alignment horizontal="left" vertical="center"/>
    </xf>
    <xf numFmtId="0" fontId="26" fillId="0" borderId="3" xfId="0" applyFont="1" applyFill="1" applyBorder="1" applyAlignment="1">
      <alignment horizontal="left" vertical="center"/>
    </xf>
    <xf numFmtId="0" fontId="78" fillId="0" borderId="5" xfId="0" applyFont="1" applyFill="1" applyBorder="1" applyAlignment="1">
      <alignment horizontal="left" vertical="center" wrapText="1"/>
    </xf>
    <xf numFmtId="0" fontId="91" fillId="42" borderId="0" xfId="0" applyFont="1" applyFill="1" applyBorder="1" applyAlignment="1">
      <alignment horizontal="left" vertical="center" wrapText="1"/>
    </xf>
    <xf numFmtId="0" fontId="92" fillId="42" borderId="0" xfId="0" applyFont="1" applyFill="1" applyBorder="1" applyAlignment="1">
      <alignment vertical="center" wrapText="1"/>
    </xf>
    <xf numFmtId="0" fontId="91" fillId="22" borderId="0" xfId="0" applyFont="1" applyFill="1" applyBorder="1" applyAlignment="1">
      <alignment horizontal="left" vertical="center" wrapText="1"/>
    </xf>
    <xf numFmtId="0" fontId="29" fillId="22" borderId="0" xfId="0" applyFont="1" applyFill="1" applyAlignment="1">
      <alignment horizontal="left" vertical="center"/>
    </xf>
    <xf numFmtId="0" fontId="29" fillId="22" borderId="0" xfId="0" applyFont="1" applyFill="1" applyBorder="1" applyAlignment="1">
      <alignment horizontal="left" vertical="center" wrapText="1"/>
    </xf>
    <xf numFmtId="0" fontId="92" fillId="22" borderId="0" xfId="0" applyFont="1" applyFill="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wrapText="1"/>
    </xf>
    <xf numFmtId="0" fontId="81" fillId="11" borderId="4" xfId="0" applyFont="1" applyFill="1" applyBorder="1" applyAlignment="1">
      <alignment horizontal="center"/>
    </xf>
    <xf numFmtId="0" fontId="11" fillId="0" borderId="0" xfId="75" applyFont="1" applyFill="1" applyBorder="1" applyAlignment="1">
      <alignment horizontal="left"/>
    </xf>
    <xf numFmtId="0" fontId="9" fillId="0" borderId="0" xfId="75" applyFont="1" applyFill="1" applyBorder="1" applyAlignment="1">
      <alignment horizontal="center" vertical="center"/>
    </xf>
    <xf numFmtId="0" fontId="11" fillId="0" borderId="0" xfId="75" applyFont="1" applyFill="1" applyBorder="1" applyAlignment="1">
      <alignment horizontal="center" vertical="center"/>
    </xf>
    <xf numFmtId="0" fontId="8" fillId="0" borderId="0" xfId="75" applyFont="1" applyFill="1" applyBorder="1"/>
    <xf numFmtId="10" fontId="29" fillId="22" borderId="0" xfId="76" applyNumberFormat="1" applyFont="1" applyFill="1" applyBorder="1" applyAlignment="1">
      <alignment horizontal="left" vertical="center" wrapText="1"/>
    </xf>
    <xf numFmtId="0" fontId="86" fillId="0" borderId="0" xfId="75" applyFont="1" applyFill="1" applyBorder="1" applyAlignment="1">
      <alignment horizontal="left"/>
    </xf>
    <xf numFmtId="0" fontId="25" fillId="0" borderId="0" xfId="75" applyFont="1" applyFill="1" applyBorder="1" applyAlignment="1">
      <alignment horizontal="center" vertical="center"/>
    </xf>
    <xf numFmtId="0" fontId="84" fillId="0" borderId="0" xfId="75" applyFont="1" applyFill="1" applyBorder="1"/>
    <xf numFmtId="0" fontId="25" fillId="0" borderId="0" xfId="75" applyFont="1" applyFill="1" applyBorder="1"/>
    <xf numFmtId="0" fontId="26" fillId="12" borderId="8" xfId="75" applyFont="1" applyFill="1" applyBorder="1" applyAlignment="1">
      <alignment horizontal="left" vertical="center" wrapText="1"/>
    </xf>
    <xf numFmtId="0" fontId="26" fillId="12" borderId="3" xfId="75" applyFont="1" applyFill="1" applyBorder="1" applyAlignment="1">
      <alignment horizontal="left" vertical="center" wrapText="1"/>
    </xf>
    <xf numFmtId="0" fontId="26" fillId="13" borderId="3" xfId="75" applyFont="1" applyFill="1" applyBorder="1" applyAlignment="1">
      <alignment horizontal="left" vertical="center" wrapText="1"/>
    </xf>
    <xf numFmtId="0" fontId="26" fillId="9" borderId="3" xfId="75" applyFont="1" applyFill="1" applyBorder="1" applyAlignment="1">
      <alignment horizontal="left" vertical="center" wrapText="1"/>
    </xf>
    <xf numFmtId="0" fontId="26" fillId="14" borderId="3" xfId="75" applyFont="1" applyFill="1" applyBorder="1" applyAlignment="1">
      <alignment horizontal="left" vertical="center" wrapText="1"/>
    </xf>
    <xf numFmtId="0" fontId="26" fillId="19" borderId="3" xfId="75" applyFont="1" applyFill="1" applyBorder="1" applyAlignment="1">
      <alignment horizontal="left" vertical="center" wrapText="1"/>
    </xf>
    <xf numFmtId="0" fontId="26" fillId="18" borderId="3" xfId="75" applyFont="1" applyFill="1" applyBorder="1" applyAlignment="1">
      <alignment horizontal="left" vertical="center" wrapText="1"/>
    </xf>
    <xf numFmtId="0" fontId="26" fillId="16" borderId="3" xfId="75" applyFont="1" applyFill="1" applyBorder="1" applyAlignment="1">
      <alignment horizontal="left" vertical="center" wrapText="1"/>
    </xf>
    <xf numFmtId="0" fontId="26" fillId="17" borderId="3" xfId="75" applyFont="1" applyFill="1" applyBorder="1" applyAlignment="1">
      <alignment horizontal="left" vertical="center" wrapText="1"/>
    </xf>
    <xf numFmtId="165" fontId="19" fillId="26" borderId="3" xfId="77" applyNumberFormat="1" applyFont="1" applyFill="1" applyBorder="1" applyAlignment="1">
      <alignment horizontal="left" vertical="center" wrapText="1"/>
    </xf>
    <xf numFmtId="10" fontId="16" fillId="26" borderId="3" xfId="76" applyNumberFormat="1" applyFont="1" applyFill="1" applyBorder="1" applyAlignment="1">
      <alignment horizontal="left" vertical="center" wrapText="1"/>
    </xf>
    <xf numFmtId="10" fontId="26" fillId="0" borderId="3" xfId="76" applyNumberFormat="1" applyFont="1" applyFill="1" applyBorder="1" applyAlignment="1">
      <alignment horizontal="left" vertical="center"/>
    </xf>
    <xf numFmtId="0" fontId="9" fillId="21" borderId="3" xfId="75" applyFont="1" applyFill="1" applyBorder="1" applyAlignment="1">
      <alignment horizontal="center" vertical="top" wrapText="1"/>
    </xf>
    <xf numFmtId="0" fontId="26" fillId="10" borderId="8" xfId="75" applyFont="1" applyFill="1" applyBorder="1" applyAlignment="1">
      <alignment horizontal="center" vertical="center" wrapText="1"/>
    </xf>
    <xf numFmtId="0" fontId="26" fillId="10" borderId="3" xfId="75" applyFont="1" applyFill="1" applyBorder="1" applyAlignment="1">
      <alignment horizontal="center" vertical="center" wrapText="1"/>
    </xf>
    <xf numFmtId="0" fontId="27" fillId="11" borderId="3" xfId="75" applyFont="1" applyFill="1" applyBorder="1" applyAlignment="1">
      <alignment horizontal="right" vertical="center" wrapText="1"/>
    </xf>
    <xf numFmtId="9" fontId="8" fillId="22" borderId="3" xfId="76" applyFont="1" applyFill="1" applyBorder="1"/>
    <xf numFmtId="0" fontId="9" fillId="14" borderId="3" xfId="75" applyFont="1" applyFill="1" applyBorder="1" applyAlignment="1">
      <alignment horizontal="center" vertical="top" wrapText="1"/>
    </xf>
    <xf numFmtId="165" fontId="9" fillId="21" borderId="3" xfId="77" applyNumberFormat="1" applyFont="1" applyFill="1" applyBorder="1" applyAlignment="1">
      <alignment horizontal="left" vertical="top" wrapText="1"/>
    </xf>
    <xf numFmtId="0" fontId="26" fillId="21" borderId="3" xfId="75" applyFont="1" applyFill="1" applyBorder="1" applyAlignment="1">
      <alignment horizontal="left" vertical="center" wrapText="1"/>
    </xf>
    <xf numFmtId="0" fontId="9" fillId="14" borderId="19" xfId="75" applyFont="1" applyFill="1" applyBorder="1" applyAlignment="1">
      <alignment horizontal="center" vertical="top" wrapText="1"/>
    </xf>
    <xf numFmtId="165" fontId="9" fillId="21" borderId="6" xfId="77" applyNumberFormat="1" applyFont="1" applyFill="1" applyBorder="1" applyAlignment="1">
      <alignment horizontal="left" vertical="top" wrapText="1"/>
    </xf>
    <xf numFmtId="165" fontId="9" fillId="21" borderId="19" xfId="77" applyNumberFormat="1" applyFont="1" applyFill="1" applyBorder="1" applyAlignment="1">
      <alignment horizontal="left" vertical="top" wrapText="1"/>
    </xf>
    <xf numFmtId="9" fontId="8" fillId="0" borderId="0" xfId="76" applyFont="1" applyBorder="1"/>
    <xf numFmtId="0" fontId="9" fillId="21" borderId="3" xfId="75" applyFont="1" applyFill="1" applyBorder="1" applyAlignment="1">
      <alignment horizontal="left" vertical="center" wrapText="1"/>
    </xf>
    <xf numFmtId="9" fontId="8" fillId="0" borderId="3" xfId="76" applyFont="1" applyBorder="1"/>
    <xf numFmtId="0" fontId="9" fillId="14" borderId="18" xfId="75" applyFont="1" applyFill="1" applyBorder="1" applyAlignment="1">
      <alignment horizontal="center" vertical="top" wrapText="1"/>
    </xf>
    <xf numFmtId="165" fontId="9" fillId="21" borderId="18" xfId="77" applyNumberFormat="1" applyFont="1" applyFill="1" applyBorder="1" applyAlignment="1">
      <alignment horizontal="left" vertical="top" wrapText="1"/>
    </xf>
    <xf numFmtId="0" fontId="9" fillId="14" borderId="18" xfId="75" applyFont="1" applyFill="1" applyBorder="1" applyAlignment="1">
      <alignment horizontal="center" vertical="center" wrapText="1"/>
    </xf>
    <xf numFmtId="0" fontId="54" fillId="10" borderId="3" xfId="75" applyFont="1" applyFill="1" applyBorder="1" applyAlignment="1">
      <alignment horizontal="center" vertical="center" wrapText="1"/>
    </xf>
    <xf numFmtId="165" fontId="26" fillId="25" borderId="3" xfId="77" applyNumberFormat="1" applyFont="1" applyFill="1" applyBorder="1" applyAlignment="1">
      <alignment horizontal="right" vertical="center" wrapText="1"/>
    </xf>
    <xf numFmtId="9" fontId="8" fillId="21" borderId="3" xfId="76" applyFont="1" applyFill="1" applyBorder="1"/>
    <xf numFmtId="0" fontId="61" fillId="10" borderId="3" xfId="75" applyFont="1" applyFill="1" applyBorder="1" applyAlignment="1">
      <alignment horizontal="center" vertical="center" wrapText="1"/>
    </xf>
    <xf numFmtId="0" fontId="9" fillId="21" borderId="3" xfId="75" applyFont="1" applyFill="1" applyBorder="1" applyAlignment="1">
      <alignment horizontal="left" vertical="top" wrapText="1"/>
    </xf>
    <xf numFmtId="165" fontId="9" fillId="21" borderId="9" xfId="77" applyNumberFormat="1" applyFont="1" applyFill="1" applyBorder="1" applyAlignment="1">
      <alignment horizontal="left" vertical="top" wrapText="1"/>
    </xf>
    <xf numFmtId="12" fontId="8" fillId="22" borderId="3" xfId="76" applyNumberFormat="1" applyFont="1" applyFill="1" applyBorder="1"/>
    <xf numFmtId="0" fontId="9" fillId="21" borderId="3" xfId="75" applyFont="1" applyFill="1" applyBorder="1" applyAlignment="1">
      <alignment horizontal="center" vertical="top"/>
    </xf>
    <xf numFmtId="0" fontId="54" fillId="11" borderId="3" xfId="75" applyFont="1" applyFill="1" applyBorder="1" applyAlignment="1">
      <alignment horizontal="center" vertical="center" wrapText="1"/>
    </xf>
    <xf numFmtId="0" fontId="9" fillId="14" borderId="18" xfId="75" applyFont="1" applyFill="1" applyBorder="1" applyAlignment="1">
      <alignment horizontal="center" vertical="top"/>
    </xf>
    <xf numFmtId="165" fontId="60" fillId="25" borderId="18" xfId="77" applyNumberFormat="1" applyFont="1" applyFill="1" applyBorder="1" applyAlignment="1">
      <alignment horizontal="left" vertical="top" wrapText="1"/>
    </xf>
    <xf numFmtId="165" fontId="8" fillId="25" borderId="18" xfId="77" applyNumberFormat="1" applyFont="1" applyFill="1" applyBorder="1" applyAlignment="1">
      <alignment horizontal="left" vertical="top" wrapText="1"/>
    </xf>
    <xf numFmtId="0" fontId="9" fillId="27" borderId="18" xfId="75" applyFont="1" applyFill="1" applyBorder="1" applyAlignment="1">
      <alignment horizontal="center" vertical="top" wrapText="1"/>
    </xf>
    <xf numFmtId="165" fontId="14" fillId="25" borderId="18" xfId="77" applyNumberFormat="1" applyFont="1" applyFill="1" applyBorder="1" applyAlignment="1">
      <alignment horizontal="left" vertical="top"/>
    </xf>
    <xf numFmtId="9" fontId="26" fillId="22" borderId="3" xfId="76" applyFont="1" applyFill="1" applyBorder="1"/>
    <xf numFmtId="165" fontId="14" fillId="25" borderId="18" xfId="77" applyNumberFormat="1" applyFont="1" applyFill="1" applyBorder="1" applyAlignment="1">
      <alignment horizontal="left" vertical="center"/>
    </xf>
    <xf numFmtId="0" fontId="9" fillId="27" borderId="18" xfId="75" applyFont="1" applyFill="1" applyBorder="1" applyAlignment="1">
      <alignment horizontal="center" vertical="center"/>
    </xf>
    <xf numFmtId="165" fontId="8" fillId="25" borderId="18" xfId="77" applyNumberFormat="1" applyFont="1" applyFill="1" applyBorder="1" applyAlignment="1">
      <alignment horizontal="left" vertical="top"/>
    </xf>
    <xf numFmtId="0" fontId="38" fillId="21" borderId="3" xfId="75" applyFont="1" applyFill="1" applyBorder="1" applyAlignment="1">
      <alignment horizontal="left" vertical="center" wrapText="1"/>
    </xf>
    <xf numFmtId="9" fontId="38" fillId="22" borderId="3" xfId="76" applyFont="1" applyFill="1" applyBorder="1"/>
    <xf numFmtId="0" fontId="9" fillId="14" borderId="9" xfId="75" applyFont="1" applyFill="1" applyBorder="1" applyAlignment="1">
      <alignment horizontal="center" vertical="top" wrapText="1"/>
    </xf>
    <xf numFmtId="0" fontId="38" fillId="14" borderId="18" xfId="75" applyFont="1" applyFill="1" applyBorder="1" applyAlignment="1">
      <alignment horizontal="center" vertical="top" wrapText="1"/>
    </xf>
    <xf numFmtId="165" fontId="38" fillId="21" borderId="18" xfId="77" applyNumberFormat="1" applyFont="1" applyFill="1" applyBorder="1" applyAlignment="1">
      <alignment horizontal="left" vertical="top" wrapText="1"/>
    </xf>
    <xf numFmtId="165" fontId="38" fillId="21" borderId="3" xfId="77" applyNumberFormat="1" applyFont="1" applyFill="1" applyBorder="1" applyAlignment="1">
      <alignment horizontal="left" vertical="top" wrapText="1"/>
    </xf>
    <xf numFmtId="165" fontId="38" fillId="21" borderId="9" xfId="77" applyNumberFormat="1" applyFont="1" applyFill="1" applyBorder="1" applyAlignment="1">
      <alignment horizontal="left" vertical="top" wrapText="1"/>
    </xf>
    <xf numFmtId="9" fontId="38" fillId="22" borderId="3" xfId="76" applyFont="1" applyFill="1" applyBorder="1" applyAlignment="1">
      <alignment vertical="center"/>
    </xf>
    <xf numFmtId="0" fontId="26" fillId="14" borderId="18" xfId="75" applyFont="1" applyFill="1" applyBorder="1" applyAlignment="1">
      <alignment horizontal="center" vertical="top" wrapText="1"/>
    </xf>
    <xf numFmtId="0" fontId="26" fillId="14" borderId="3" xfId="75" applyFont="1" applyFill="1" applyBorder="1" applyAlignment="1">
      <alignment horizontal="center" vertical="top" wrapText="1"/>
    </xf>
    <xf numFmtId="0" fontId="26" fillId="14" borderId="9" xfId="75" applyFont="1" applyFill="1" applyBorder="1" applyAlignment="1">
      <alignment horizontal="center" vertical="top" wrapText="1"/>
    </xf>
    <xf numFmtId="165" fontId="26" fillId="21" borderId="18" xfId="77" applyNumberFormat="1" applyFont="1" applyFill="1" applyBorder="1" applyAlignment="1">
      <alignment horizontal="left" vertical="top" wrapText="1"/>
    </xf>
    <xf numFmtId="165" fontId="26" fillId="21" borderId="3" xfId="77" applyNumberFormat="1" applyFont="1" applyFill="1" applyBorder="1" applyAlignment="1">
      <alignment horizontal="left" vertical="top" wrapText="1"/>
    </xf>
    <xf numFmtId="165" fontId="26" fillId="21" borderId="9" xfId="77" applyNumberFormat="1" applyFont="1" applyFill="1" applyBorder="1" applyAlignment="1">
      <alignment horizontal="left" vertical="top" wrapText="1"/>
    </xf>
    <xf numFmtId="9" fontId="26" fillId="20" borderId="3" xfId="76" applyFont="1" applyFill="1" applyBorder="1"/>
    <xf numFmtId="165" fontId="38" fillId="21" borderId="18" xfId="77" applyNumberFormat="1" applyFont="1" applyFill="1" applyBorder="1" applyAlignment="1">
      <alignment horizontal="left" vertical="center" wrapText="1"/>
    </xf>
    <xf numFmtId="165" fontId="38" fillId="21" borderId="3" xfId="77" applyNumberFormat="1" applyFont="1" applyFill="1" applyBorder="1" applyAlignment="1">
      <alignment horizontal="left" vertical="center" wrapText="1"/>
    </xf>
    <xf numFmtId="165" fontId="38" fillId="21" borderId="9" xfId="77" applyNumberFormat="1" applyFont="1" applyFill="1" applyBorder="1" applyAlignment="1">
      <alignment horizontal="left" vertical="center" wrapText="1"/>
    </xf>
    <xf numFmtId="165" fontId="29" fillId="25" borderId="3" xfId="77" applyNumberFormat="1" applyFont="1" applyFill="1" applyBorder="1" applyAlignment="1">
      <alignment horizontal="right" vertical="center" wrapText="1"/>
    </xf>
    <xf numFmtId="0" fontId="26" fillId="20" borderId="18" xfId="75" applyFont="1" applyFill="1" applyBorder="1" applyAlignment="1">
      <alignment horizontal="center" vertical="top" wrapText="1"/>
    </xf>
    <xf numFmtId="165" fontId="26" fillId="20" borderId="18" xfId="77" applyNumberFormat="1" applyFont="1" applyFill="1" applyBorder="1" applyAlignment="1">
      <alignment horizontal="left" vertical="top" wrapText="1"/>
    </xf>
    <xf numFmtId="165" fontId="26" fillId="20" borderId="3" xfId="77" applyNumberFormat="1" applyFont="1" applyFill="1" applyBorder="1" applyAlignment="1">
      <alignment horizontal="left" vertical="top" wrapText="1"/>
    </xf>
    <xf numFmtId="165" fontId="26" fillId="20" borderId="9" xfId="77" applyNumberFormat="1" applyFont="1" applyFill="1" applyBorder="1" applyAlignment="1">
      <alignment horizontal="left" vertical="top" wrapText="1"/>
    </xf>
    <xf numFmtId="0" fontId="26" fillId="36" borderId="18" xfId="75" applyFont="1" applyFill="1" applyBorder="1" applyAlignment="1">
      <alignment horizontal="center" vertical="top" wrapText="1"/>
    </xf>
    <xf numFmtId="165" fontId="26" fillId="36" borderId="18" xfId="77" applyNumberFormat="1" applyFont="1" applyFill="1" applyBorder="1" applyAlignment="1">
      <alignment horizontal="left" vertical="top" wrapText="1"/>
    </xf>
    <xf numFmtId="165" fontId="26" fillId="36" borderId="3" xfId="77" applyNumberFormat="1" applyFont="1" applyFill="1" applyBorder="1" applyAlignment="1">
      <alignment horizontal="left" vertical="top" wrapText="1"/>
    </xf>
    <xf numFmtId="165" fontId="26" fillId="36" borderId="9" xfId="77" applyNumberFormat="1" applyFont="1" applyFill="1" applyBorder="1" applyAlignment="1">
      <alignment horizontal="left" vertical="top" wrapText="1"/>
    </xf>
    <xf numFmtId="165" fontId="26" fillId="25" borderId="3" xfId="77" applyNumberFormat="1" applyFont="1" applyFill="1" applyBorder="1" applyAlignment="1">
      <alignment horizontal="right" vertical="center"/>
    </xf>
    <xf numFmtId="0" fontId="37" fillId="20" borderId="3" xfId="75" applyFont="1" applyFill="1" applyBorder="1" applyAlignment="1">
      <alignment horizontal="center" vertical="center" wrapText="1"/>
    </xf>
    <xf numFmtId="0" fontId="26" fillId="14" borderId="18" xfId="75" applyFont="1" applyFill="1" applyBorder="1" applyAlignment="1">
      <alignment horizontal="center" vertical="center" wrapText="1"/>
    </xf>
    <xf numFmtId="0" fontId="37" fillId="10" borderId="3" xfId="75" applyFont="1" applyFill="1" applyBorder="1" applyAlignment="1">
      <alignment horizontal="center" vertical="center" wrapText="1"/>
    </xf>
    <xf numFmtId="9" fontId="26" fillId="36" borderId="3" xfId="76" applyFont="1" applyFill="1" applyBorder="1"/>
    <xf numFmtId="0" fontId="9" fillId="21" borderId="3" xfId="75" applyFont="1" applyFill="1" applyBorder="1" applyAlignment="1">
      <alignment horizontal="center" vertical="center" wrapText="1"/>
    </xf>
    <xf numFmtId="0" fontId="9" fillId="21" borderId="3" xfId="75" applyFont="1" applyFill="1" applyBorder="1" applyAlignment="1">
      <alignment horizontal="center" vertical="center"/>
    </xf>
    <xf numFmtId="0" fontId="9" fillId="14" borderId="18" xfId="75" applyFont="1" applyFill="1" applyBorder="1" applyAlignment="1">
      <alignment horizontal="center" vertical="center"/>
    </xf>
    <xf numFmtId="164" fontId="49" fillId="0" borderId="0" xfId="76" applyNumberFormat="1" applyFont="1" applyBorder="1" applyAlignment="1">
      <alignment horizontal="left"/>
    </xf>
    <xf numFmtId="164" fontId="27" fillId="0" borderId="0" xfId="76" applyNumberFormat="1" applyFont="1" applyBorder="1" applyAlignment="1">
      <alignment horizontal="left"/>
    </xf>
    <xf numFmtId="164" fontId="70" fillId="0" borderId="0" xfId="76" applyNumberFormat="1" applyFont="1" applyBorder="1" applyAlignment="1">
      <alignment horizontal="left" vertical="center" wrapText="1"/>
    </xf>
    <xf numFmtId="164" fontId="49" fillId="0" borderId="0" xfId="76" applyNumberFormat="1" applyFont="1" applyBorder="1" applyAlignment="1">
      <alignment horizontal="left" vertical="center" wrapText="1"/>
    </xf>
    <xf numFmtId="164" fontId="9" fillId="0" borderId="0" xfId="76" applyNumberFormat="1" applyFont="1" applyBorder="1" applyAlignment="1">
      <alignment horizontal="right" vertical="center"/>
    </xf>
    <xf numFmtId="164" fontId="8" fillId="0" borderId="0" xfId="76" applyNumberFormat="1" applyFont="1" applyBorder="1"/>
    <xf numFmtId="164" fontId="8" fillId="0" borderId="0" xfId="76" applyNumberFormat="1" applyFont="1" applyFill="1" applyBorder="1"/>
    <xf numFmtId="164" fontId="8" fillId="0" borderId="0" xfId="76" applyNumberFormat="1" applyFont="1" applyBorder="1" applyAlignment="1">
      <alignment horizontal="left" vertical="center"/>
    </xf>
    <xf numFmtId="0" fontId="9" fillId="12" borderId="3" xfId="75" applyFont="1" applyFill="1" applyBorder="1" applyAlignment="1">
      <alignment vertical="top" wrapText="1"/>
    </xf>
    <xf numFmtId="0" fontId="9" fillId="12" borderId="0" xfId="75" applyFont="1" applyFill="1" applyBorder="1" applyAlignment="1">
      <alignment vertical="top" wrapText="1"/>
    </xf>
    <xf numFmtId="0" fontId="26" fillId="22" borderId="13" xfId="75" applyFont="1" applyFill="1" applyBorder="1" applyAlignment="1">
      <alignment vertical="top" wrapText="1"/>
    </xf>
    <xf numFmtId="0" fontId="9" fillId="13" borderId="3" xfId="75" applyFont="1" applyFill="1" applyBorder="1" applyAlignment="1">
      <alignment horizontal="left" vertical="top" wrapText="1"/>
    </xf>
    <xf numFmtId="0" fontId="9" fillId="13" borderId="0" xfId="75" applyFont="1" applyFill="1" applyBorder="1" applyAlignment="1">
      <alignment horizontal="left" vertical="top" wrapText="1"/>
    </xf>
    <xf numFmtId="0" fontId="9" fillId="13" borderId="3" xfId="75" applyFont="1" applyFill="1" applyBorder="1" applyAlignment="1">
      <alignment vertical="top" wrapText="1"/>
    </xf>
    <xf numFmtId="0" fontId="9" fillId="13" borderId="0" xfId="75" applyFont="1" applyFill="1" applyBorder="1" applyAlignment="1">
      <alignment vertical="top" wrapText="1"/>
    </xf>
    <xf numFmtId="0" fontId="9" fillId="9" borderId="3" xfId="75" applyFont="1" applyFill="1" applyBorder="1" applyAlignment="1">
      <alignment vertical="top" wrapText="1"/>
    </xf>
    <xf numFmtId="0" fontId="9" fillId="9" borderId="0" xfId="75" applyFont="1" applyFill="1" applyBorder="1" applyAlignment="1">
      <alignment vertical="top" wrapText="1"/>
    </xf>
    <xf numFmtId="0" fontId="9" fillId="14" borderId="3" xfId="75" applyFont="1" applyFill="1" applyBorder="1" applyAlignment="1">
      <alignment horizontal="left" vertical="top" wrapText="1"/>
    </xf>
    <xf numFmtId="0" fontId="9" fillId="14" borderId="0" xfId="75" applyFont="1" applyFill="1" applyBorder="1" applyAlignment="1">
      <alignment horizontal="left" vertical="top" wrapText="1"/>
    </xf>
    <xf numFmtId="0" fontId="9" fillId="19" borderId="3" xfId="75" applyFont="1" applyFill="1" applyBorder="1" applyAlignment="1">
      <alignment vertical="top" wrapText="1"/>
    </xf>
    <xf numFmtId="0" fontId="9" fillId="19" borderId="0" xfId="75" applyFont="1" applyFill="1" applyBorder="1" applyAlignment="1">
      <alignment vertical="top" wrapText="1"/>
    </xf>
    <xf numFmtId="0" fontId="9" fillId="18" borderId="3" xfId="75" applyFont="1" applyFill="1" applyBorder="1" applyAlignment="1">
      <alignment vertical="top" wrapText="1"/>
    </xf>
    <xf numFmtId="0" fontId="9" fillId="18" borderId="0" xfId="75" applyFont="1" applyFill="1" applyBorder="1" applyAlignment="1">
      <alignment vertical="top" wrapText="1"/>
    </xf>
    <xf numFmtId="0" fontId="9" fillId="16" borderId="3" xfId="75" applyFont="1" applyFill="1" applyBorder="1" applyAlignment="1">
      <alignment vertical="top" wrapText="1"/>
    </xf>
    <xf numFmtId="0" fontId="9" fillId="16" borderId="0" xfId="75" applyFont="1" applyFill="1" applyBorder="1" applyAlignment="1">
      <alignment vertical="top" wrapText="1"/>
    </xf>
    <xf numFmtId="0" fontId="9" fillId="16" borderId="3" xfId="75" applyFont="1" applyFill="1" applyBorder="1" applyAlignment="1">
      <alignment horizontal="left" vertical="top" wrapText="1"/>
    </xf>
    <xf numFmtId="0" fontId="9" fillId="16" borderId="0" xfId="75" applyFont="1" applyFill="1" applyBorder="1" applyAlignment="1">
      <alignment horizontal="left" vertical="top" wrapText="1"/>
    </xf>
    <xf numFmtId="0" fontId="9" fillId="17" borderId="3" xfId="75" applyFont="1" applyFill="1" applyBorder="1" applyAlignment="1">
      <alignment horizontal="left" vertical="top" wrapText="1"/>
    </xf>
    <xf numFmtId="0" fontId="9" fillId="17" borderId="0" xfId="75" applyFont="1" applyFill="1" applyBorder="1" applyAlignment="1">
      <alignment horizontal="left" vertical="top" wrapText="1"/>
    </xf>
    <xf numFmtId="0" fontId="0" fillId="36" borderId="0" xfId="0" applyFill="1" applyAlignment="1">
      <alignment horizontal="left" vertical="center" wrapText="1"/>
    </xf>
    <xf numFmtId="0" fontId="0" fillId="36" borderId="0" xfId="0" applyFill="1" applyAlignment="1">
      <alignment horizontal="left" vertical="center" wrapText="1"/>
    </xf>
    <xf numFmtId="0" fontId="0" fillId="43" borderId="0" xfId="0" applyFill="1" applyAlignment="1">
      <alignment horizontal="left" vertical="center" wrapText="1"/>
    </xf>
    <xf numFmtId="0" fontId="4" fillId="36" borderId="0" xfId="0" applyFont="1" applyFill="1" applyAlignment="1">
      <alignment horizontal="left" vertical="center" wrapText="1"/>
    </xf>
    <xf numFmtId="0" fontId="0" fillId="25" borderId="0" xfId="0" applyFill="1" applyAlignment="1">
      <alignment horizontal="left" vertical="center" wrapText="1"/>
    </xf>
    <xf numFmtId="0" fontId="0" fillId="6" borderId="0" xfId="0" applyFill="1" applyAlignment="1">
      <alignment horizontal="left" vertical="center" wrapText="1"/>
    </xf>
    <xf numFmtId="0" fontId="0" fillId="0" borderId="0" xfId="0" applyFill="1" applyAlignment="1">
      <alignment horizontal="left" vertical="center" wrapText="1"/>
    </xf>
    <xf numFmtId="0" fontId="0" fillId="11" borderId="0" xfId="0" applyFill="1" applyAlignment="1">
      <alignment horizontal="left" vertical="center" wrapText="1"/>
    </xf>
    <xf numFmtId="0" fontId="0" fillId="0" borderId="0" xfId="0" applyAlignment="1">
      <alignment horizontal="left" vertical="center" wrapText="1"/>
    </xf>
    <xf numFmtId="0" fontId="95" fillId="11" borderId="0" xfId="0" applyFont="1" applyFill="1" applyAlignment="1">
      <alignment horizontal="left" vertical="center" wrapText="1"/>
    </xf>
    <xf numFmtId="0" fontId="95" fillId="43" borderId="0" xfId="0" applyFont="1" applyFill="1" applyAlignment="1">
      <alignment horizontal="left" vertical="center" wrapText="1"/>
    </xf>
    <xf numFmtId="0" fontId="95" fillId="6" borderId="0" xfId="0" applyFont="1" applyFill="1" applyAlignment="1">
      <alignment horizontal="left" vertical="center" wrapText="1"/>
    </xf>
    <xf numFmtId="0" fontId="0" fillId="36" borderId="0" xfId="0" applyFill="1" applyBorder="1" applyAlignment="1">
      <alignment horizontal="left" vertical="center" wrapText="1"/>
    </xf>
    <xf numFmtId="0" fontId="71" fillId="36" borderId="0" xfId="0" applyFont="1" applyFill="1" applyAlignment="1">
      <alignment horizontal="left" vertical="center" wrapText="1"/>
    </xf>
    <xf numFmtId="0" fontId="98" fillId="11" borderId="21" xfId="0" applyFont="1" applyFill="1" applyBorder="1" applyAlignment="1" applyProtection="1">
      <alignment horizontal="left" vertical="center" wrapText="1"/>
      <protection locked="0"/>
    </xf>
    <xf numFmtId="0" fontId="99" fillId="11" borderId="0" xfId="0" applyFont="1" applyFill="1" applyAlignment="1">
      <alignment horizontal="center" vertical="center" wrapText="1"/>
    </xf>
    <xf numFmtId="0" fontId="99" fillId="43" borderId="0" xfId="0" applyFont="1" applyFill="1" applyAlignment="1">
      <alignment horizontal="center" vertical="center" wrapText="1"/>
    </xf>
    <xf numFmtId="0" fontId="100" fillId="24" borderId="0" xfId="0" applyFont="1" applyFill="1" applyAlignment="1">
      <alignment horizontal="left" vertical="center" wrapText="1"/>
    </xf>
    <xf numFmtId="0" fontId="0" fillId="24" borderId="0" xfId="0" applyFill="1" applyAlignment="1">
      <alignment horizontal="left" vertical="center" wrapText="1"/>
    </xf>
    <xf numFmtId="0" fontId="99" fillId="6" borderId="0" xfId="0" applyFont="1" applyFill="1" applyAlignment="1">
      <alignment horizontal="center" vertical="center" wrapText="1"/>
    </xf>
    <xf numFmtId="0" fontId="99" fillId="25" borderId="0" xfId="0" applyFont="1" applyFill="1" applyAlignment="1">
      <alignment horizontal="center" vertical="center" wrapText="1"/>
    </xf>
    <xf numFmtId="0" fontId="102" fillId="11" borderId="0" xfId="0" applyFont="1" applyFill="1" applyAlignment="1">
      <alignment horizontal="center" vertical="center" wrapText="1"/>
    </xf>
    <xf numFmtId="0" fontId="102" fillId="6" borderId="0" xfId="0" applyFont="1" applyFill="1" applyAlignment="1">
      <alignment horizontal="center" vertical="center" wrapText="1"/>
    </xf>
    <xf numFmtId="0" fontId="4" fillId="6" borderId="0" xfId="0" applyFont="1" applyFill="1" applyAlignment="1">
      <alignment horizontal="left" vertical="center" wrapText="1"/>
    </xf>
    <xf numFmtId="0" fontId="4" fillId="11" borderId="0" xfId="0" applyFont="1" applyFill="1" applyAlignment="1">
      <alignment horizontal="left" vertical="center" wrapText="1"/>
    </xf>
    <xf numFmtId="0" fontId="97" fillId="43" borderId="0" xfId="0" applyFont="1" applyFill="1" applyAlignment="1">
      <alignment horizontal="left" vertical="center" wrapText="1"/>
    </xf>
    <xf numFmtId="0" fontId="71" fillId="6" borderId="0" xfId="0" applyFont="1" applyFill="1" applyAlignment="1">
      <alignment horizontal="left" vertical="center" wrapText="1"/>
    </xf>
    <xf numFmtId="0" fontId="71" fillId="43" borderId="0" xfId="0" applyFont="1" applyFill="1" applyAlignment="1">
      <alignment horizontal="left" vertical="center" wrapText="1"/>
    </xf>
    <xf numFmtId="0" fontId="71" fillId="25" borderId="0" xfId="0" applyFont="1" applyFill="1" applyAlignment="1">
      <alignment horizontal="left" vertical="center" wrapText="1"/>
    </xf>
    <xf numFmtId="0" fontId="100" fillId="25" borderId="0" xfId="0" applyFont="1" applyFill="1" applyAlignment="1">
      <alignment horizontal="left" vertical="top" wrapText="1"/>
    </xf>
    <xf numFmtId="0" fontId="103" fillId="11" borderId="21" xfId="0" applyFont="1" applyFill="1" applyBorder="1" applyAlignment="1" applyProtection="1">
      <alignment horizontal="left" vertical="top" wrapText="1"/>
      <protection locked="0"/>
    </xf>
    <xf numFmtId="0" fontId="26" fillId="11" borderId="3" xfId="0" applyFont="1" applyFill="1" applyBorder="1" applyAlignment="1">
      <alignment horizontal="center" vertical="center" wrapText="1"/>
    </xf>
    <xf numFmtId="0" fontId="100" fillId="24" borderId="0" xfId="0" applyFont="1" applyFill="1" applyAlignment="1">
      <alignment horizontal="left" vertical="center" wrapText="1"/>
    </xf>
    <xf numFmtId="0" fontId="95" fillId="6" borderId="0" xfId="0" applyFont="1" applyFill="1" applyAlignment="1">
      <alignment horizontal="center" vertical="center" wrapText="1"/>
    </xf>
    <xf numFmtId="0" fontId="95" fillId="36" borderId="0" xfId="0" applyFont="1" applyFill="1" applyAlignment="1">
      <alignment horizontal="left" vertical="center" wrapText="1"/>
    </xf>
    <xf numFmtId="0" fontId="98" fillId="36" borderId="0" xfId="0" applyFont="1" applyFill="1" applyAlignment="1">
      <alignment horizontal="left" vertical="center" wrapText="1"/>
    </xf>
    <xf numFmtId="0" fontId="71" fillId="25" borderId="0" xfId="0" applyFont="1" applyFill="1" applyAlignment="1">
      <alignment horizontal="left" vertical="center" wrapText="1"/>
    </xf>
    <xf numFmtId="0" fontId="98" fillId="11" borderId="22" xfId="0" applyFont="1" applyFill="1" applyBorder="1" applyAlignment="1" applyProtection="1">
      <alignment horizontal="left" vertical="center" wrapText="1"/>
      <protection locked="0"/>
    </xf>
    <xf numFmtId="0" fontId="98" fillId="11" borderId="24" xfId="0" applyFont="1" applyFill="1" applyBorder="1" applyAlignment="1" applyProtection="1">
      <alignment horizontal="left" vertical="center" wrapText="1"/>
      <protection locked="0"/>
    </xf>
    <xf numFmtId="0" fontId="98" fillId="11" borderId="23" xfId="0" applyFont="1" applyFill="1" applyBorder="1" applyAlignment="1" applyProtection="1">
      <alignment horizontal="left" vertical="center" wrapText="1"/>
      <protection locked="0"/>
    </xf>
    <xf numFmtId="0" fontId="97" fillId="11" borderId="22" xfId="0" applyFont="1" applyFill="1" applyBorder="1" applyAlignment="1" applyProtection="1">
      <alignment horizontal="left" vertical="top" wrapText="1"/>
      <protection locked="0"/>
    </xf>
    <xf numFmtId="0" fontId="97" fillId="11" borderId="24" xfId="0" applyFont="1" applyFill="1" applyBorder="1" applyAlignment="1" applyProtection="1">
      <alignment horizontal="left" vertical="top" wrapText="1"/>
      <protection locked="0"/>
    </xf>
    <xf numFmtId="0" fontId="97" fillId="11" borderId="23" xfId="0" applyFont="1" applyFill="1" applyBorder="1" applyAlignment="1" applyProtection="1">
      <alignment horizontal="left" vertical="top" wrapText="1"/>
      <protection locked="0"/>
    </xf>
    <xf numFmtId="0" fontId="100" fillId="42" borderId="14" xfId="0" applyFont="1" applyFill="1" applyBorder="1" applyAlignment="1">
      <alignment horizontal="left" vertical="center" wrapText="1"/>
    </xf>
    <xf numFmtId="0" fontId="100" fillId="42" borderId="15" xfId="0" applyFont="1" applyFill="1" applyBorder="1" applyAlignment="1">
      <alignment horizontal="left" vertical="center" wrapText="1"/>
    </xf>
    <xf numFmtId="0" fontId="100" fillId="42" borderId="16" xfId="0" applyFont="1" applyFill="1" applyBorder="1" applyAlignment="1">
      <alignment horizontal="left" vertical="center" wrapText="1"/>
    </xf>
    <xf numFmtId="0" fontId="100" fillId="42" borderId="12" xfId="0" applyFont="1" applyFill="1" applyBorder="1" applyAlignment="1">
      <alignment horizontal="left" vertical="center" wrapText="1"/>
    </xf>
    <xf numFmtId="0" fontId="100" fillId="42" borderId="17" xfId="0" applyFont="1" applyFill="1" applyBorder="1" applyAlignment="1">
      <alignment horizontal="left" vertical="center" wrapText="1"/>
    </xf>
    <xf numFmtId="0" fontId="100" fillId="42" borderId="11" xfId="0" applyFont="1" applyFill="1" applyBorder="1" applyAlignment="1">
      <alignment horizontal="left" vertical="center" wrapText="1"/>
    </xf>
    <xf numFmtId="0" fontId="96" fillId="22" borderId="14" xfId="0" applyFont="1" applyFill="1" applyBorder="1" applyAlignment="1">
      <alignment horizontal="left" vertical="center" wrapText="1"/>
    </xf>
    <xf numFmtId="0" fontId="96" fillId="22" borderId="15" xfId="0" applyFont="1" applyFill="1" applyBorder="1" applyAlignment="1">
      <alignment horizontal="left" vertical="center" wrapText="1"/>
    </xf>
    <xf numFmtId="0" fontId="96" fillId="22" borderId="16" xfId="0" applyFont="1" applyFill="1" applyBorder="1" applyAlignment="1">
      <alignment horizontal="left" vertical="center" wrapText="1"/>
    </xf>
    <xf numFmtId="0" fontId="96" fillId="22" borderId="12" xfId="0" applyFont="1" applyFill="1" applyBorder="1" applyAlignment="1">
      <alignment horizontal="left" vertical="center" wrapText="1"/>
    </xf>
    <xf numFmtId="0" fontId="96" fillId="22" borderId="17" xfId="0" applyFont="1" applyFill="1" applyBorder="1" applyAlignment="1">
      <alignment horizontal="left" vertical="center" wrapText="1"/>
    </xf>
    <xf numFmtId="0" fontId="96" fillId="22" borderId="11" xfId="0" applyFont="1" applyFill="1" applyBorder="1" applyAlignment="1">
      <alignment horizontal="left" vertical="center" wrapText="1"/>
    </xf>
    <xf numFmtId="0" fontId="95" fillId="36" borderId="0" xfId="0" applyFont="1" applyFill="1" applyBorder="1" applyAlignment="1">
      <alignment horizontal="left" vertical="center" wrapText="1"/>
    </xf>
    <xf numFmtId="0" fontId="95" fillId="36" borderId="20" xfId="0" applyFont="1" applyFill="1" applyBorder="1" applyAlignment="1">
      <alignment horizontal="left" vertical="center" wrapText="1"/>
    </xf>
    <xf numFmtId="0" fontId="82" fillId="0" borderId="4" xfId="75" applyFont="1" applyFill="1" applyBorder="1" applyAlignment="1">
      <alignment horizontal="center" vertical="center"/>
    </xf>
    <xf numFmtId="0" fontId="83" fillId="0" borderId="4" xfId="0" applyFont="1" applyBorder="1" applyAlignment="1">
      <alignment horizontal="center"/>
    </xf>
    <xf numFmtId="0" fontId="83" fillId="0" borderId="4" xfId="75" applyFont="1" applyFill="1" applyBorder="1" applyAlignment="1">
      <alignment horizontal="center"/>
    </xf>
    <xf numFmtId="0" fontId="25" fillId="0" borderId="4" xfId="75" applyFont="1" applyFill="1" applyBorder="1" applyAlignment="1">
      <alignment horizontal="center"/>
    </xf>
    <xf numFmtId="0" fontId="80" fillId="0" borderId="4" xfId="0" applyFont="1" applyBorder="1" applyAlignment="1">
      <alignment horizontal="center"/>
    </xf>
    <xf numFmtId="0" fontId="80" fillId="0" borderId="4" xfId="0" applyFont="1" applyFill="1" applyBorder="1" applyAlignment="1">
      <alignment horizontal="center" vertical="center"/>
    </xf>
    <xf numFmtId="0" fontId="80" fillId="0" borderId="4" xfId="75" applyFont="1" applyFill="1" applyBorder="1" applyAlignment="1">
      <alignment horizontal="center"/>
    </xf>
    <xf numFmtId="0" fontId="86" fillId="0" borderId="4" xfId="75" applyFont="1" applyFill="1" applyBorder="1" applyAlignment="1">
      <alignment horizontal="center"/>
    </xf>
    <xf numFmtId="0" fontId="81" fillId="11" borderId="4" xfId="0" applyFont="1" applyFill="1" applyBorder="1" applyAlignment="1">
      <alignment horizontal="center"/>
    </xf>
    <xf numFmtId="0" fontId="81" fillId="0" borderId="4" xfId="75" applyFont="1" applyFill="1" applyBorder="1" applyAlignment="1">
      <alignment horizontal="center" vertical="center"/>
    </xf>
    <xf numFmtId="0" fontId="86" fillId="0" borderId="4" xfId="75" applyFont="1" applyFill="1" applyBorder="1" applyAlignment="1">
      <alignment horizontal="center" vertical="center"/>
    </xf>
    <xf numFmtId="0" fontId="82" fillId="0" borderId="4" xfId="0" applyFont="1" applyBorder="1" applyAlignment="1">
      <alignment horizontal="center"/>
    </xf>
    <xf numFmtId="0" fontId="85" fillId="0" borderId="0" xfId="0" applyFont="1" applyFill="1" applyBorder="1" applyAlignment="1">
      <alignment horizontal="center"/>
    </xf>
    <xf numFmtId="0" fontId="80" fillId="0" borderId="0" xfId="0" applyFont="1" applyBorder="1" applyAlignment="1">
      <alignment horizontal="center"/>
    </xf>
    <xf numFmtId="0" fontId="81" fillId="11" borderId="0" xfId="0" applyFont="1" applyFill="1" applyBorder="1" applyAlignment="1">
      <alignment horizontal="center"/>
    </xf>
    <xf numFmtId="0" fontId="82" fillId="0" borderId="0" xfId="0" applyFont="1" applyBorder="1" applyAlignment="1">
      <alignment horizontal="center"/>
    </xf>
    <xf numFmtId="0" fontId="83" fillId="0" borderId="0" xfId="0" applyFont="1" applyBorder="1" applyAlignment="1">
      <alignment horizontal="center"/>
    </xf>
    <xf numFmtId="0" fontId="84" fillId="0" borderId="0" xfId="75" applyFont="1" applyFill="1" applyBorder="1" applyAlignment="1">
      <alignment horizontal="center"/>
    </xf>
  </cellXfs>
  <cellStyles count="78">
    <cellStyle name="Comma 2" xfId="7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Heading 1" xfId="1" builtinId="1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Normal" xfId="0" builtinId="0"/>
    <cellStyle name="Note 2" xfId="64"/>
    <cellStyle name="Note 3" xfId="75"/>
    <cellStyle name="Percent 2" xfId="63"/>
    <cellStyle name="Percent 3" xfId="76"/>
  </cellStyles>
  <dxfs count="92">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s>
  <tableStyles count="1" defaultTableStyle="TableStyleMedium9" defaultPivotStyle="PivotStyleMedium7">
    <tableStyle name="Table Style 1" pivot="0" count="0"/>
  </tableStyles>
  <colors>
    <mruColors>
      <color rgb="FFFCFEDE"/>
      <color rgb="FFE1D9F4"/>
      <color rgb="FFD6BBCF"/>
      <color rgb="FFF1E6E4"/>
      <color rgb="FFAFA0CB"/>
      <color rgb="FFFFFC00"/>
      <color rgb="FF00FDFF"/>
      <color rgb="FFFCCDD8"/>
      <color rgb="FFDB2B51"/>
      <color rgb="FFCCBB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60" dropStyle="combo" dx="16"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165100</xdr:colOff>
          <xdr:row>1</xdr:row>
          <xdr:rowOff>0</xdr:rowOff>
        </xdr:from>
        <xdr:to>
          <xdr:col>1</xdr:col>
          <xdr:colOff>1079500</xdr:colOff>
          <xdr:row>1</xdr:row>
          <xdr:rowOff>304800</xdr:rowOff>
        </xdr:to>
        <xdr:sp macro="" textlink="">
          <xdr:nvSpPr>
            <xdr:cNvPr id="48129" name="Drop Down 1" hidden="1">
              <a:extLst>
                <a:ext uri="{63B3BB69-23CF-44E3-9099-C40C66FF867C}">
                  <a14:compatExt spid="_x0000_s48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isebodin/Dropbox/CBD%20Forest%20Programme/Country%20files/Country%20files%20Agadir/Country%20dossier%20F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file FR"/>
      <sheetName val="Filters"/>
      <sheetName val="Country file EN"/>
      <sheetName val="Country file SP"/>
      <sheetName val="Correlation analysis"/>
      <sheetName val="Next steps Data ASIA"/>
      <sheetName val="Next steps Data LAC"/>
      <sheetName val="Restoration actions Asia"/>
      <sheetName val="Restoration actions LAC"/>
      <sheetName val="Results"/>
      <sheetName val="Comparison LAC-ASIA-WA"/>
      <sheetName val="Mobile EN"/>
      <sheetName val="Mobile FR"/>
      <sheetName val="files SP"/>
      <sheetName val="Mobile SP"/>
      <sheetName val="Match Billy"/>
      <sheetName val="Country dossier FR - "/>
    </sheetNames>
    <definedNames>
      <definedName name="DropDown2902_Chang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workbookViewId="0">
      <selection activeCell="C6" sqref="C6"/>
    </sheetView>
  </sheetViews>
  <sheetFormatPr baseColWidth="10" defaultRowHeight="16" x14ac:dyDescent="0.2"/>
  <cols>
    <col min="1" max="1" width="3.6640625" style="530" customWidth="1"/>
    <col min="2" max="2" width="12.6640625" style="530" bestFit="1" customWidth="1"/>
    <col min="3" max="3" width="60.1640625" style="530" customWidth="1"/>
    <col min="4" max="4" width="4.33203125" style="530" customWidth="1"/>
    <col min="5" max="5" width="4.1640625" style="530" customWidth="1"/>
    <col min="6" max="6" width="3.1640625" style="530" customWidth="1"/>
    <col min="7" max="7" width="48" style="530" customWidth="1"/>
    <col min="8" max="8" width="3.1640625" style="530" customWidth="1"/>
    <col min="9" max="9" width="3.83203125" style="530" customWidth="1"/>
    <col min="10" max="10" width="3.5" style="530" customWidth="1"/>
    <col min="11" max="11" width="48" style="530" customWidth="1"/>
    <col min="12" max="13" width="3.5" style="530" customWidth="1"/>
    <col min="14" max="14" width="3.1640625" style="530" customWidth="1"/>
    <col min="15" max="15" width="52.83203125" style="530" customWidth="1"/>
    <col min="16" max="16" width="3.33203125" style="530" customWidth="1"/>
    <col min="17" max="17" width="4.1640625" style="531" customWidth="1"/>
    <col min="18" max="19" width="10.83203125" style="531"/>
    <col min="20" max="16384" width="10.83203125" style="530"/>
  </cols>
  <sheetData>
    <row r="1" spans="1:19" ht="16" customHeight="1" x14ac:dyDescent="0.2">
      <c r="A1" s="542"/>
      <c r="B1" s="556" t="s">
        <v>1801</v>
      </c>
      <c r="C1" s="556"/>
      <c r="D1" s="542"/>
      <c r="E1" s="531"/>
      <c r="F1" s="541"/>
      <c r="G1" s="556" t="s">
        <v>1800</v>
      </c>
      <c r="H1" s="556"/>
      <c r="I1" s="556"/>
      <c r="J1" s="556"/>
      <c r="K1" s="556"/>
      <c r="L1" s="542"/>
      <c r="M1" s="531"/>
      <c r="N1" s="531"/>
      <c r="O1" s="531"/>
      <c r="P1" s="531"/>
    </row>
    <row r="2" spans="1:19" ht="16" customHeight="1" x14ac:dyDescent="0.2">
      <c r="A2" s="542"/>
      <c r="B2" s="556"/>
      <c r="C2" s="556"/>
      <c r="D2" s="542"/>
      <c r="E2" s="531"/>
      <c r="F2" s="541"/>
      <c r="G2" s="556"/>
      <c r="H2" s="556"/>
      <c r="I2" s="556"/>
      <c r="J2" s="556"/>
      <c r="K2" s="556"/>
      <c r="L2" s="542"/>
      <c r="M2" s="531"/>
      <c r="N2" s="531"/>
      <c r="O2" s="531"/>
      <c r="P2" s="531"/>
    </row>
    <row r="3" spans="1:19" ht="52" customHeight="1" x14ac:dyDescent="0.2">
      <c r="A3" s="542"/>
      <c r="B3" s="556"/>
      <c r="C3" s="556"/>
      <c r="D3" s="542"/>
      <c r="E3" s="531"/>
      <c r="F3" s="541"/>
      <c r="G3" s="556"/>
      <c r="H3" s="556"/>
      <c r="I3" s="556"/>
      <c r="J3" s="556"/>
      <c r="K3" s="556"/>
      <c r="L3" s="542"/>
      <c r="M3" s="531"/>
      <c r="N3" s="531"/>
      <c r="O3" s="531"/>
      <c r="P3" s="531"/>
    </row>
    <row r="4" spans="1:19" s="531" customFormat="1" x14ac:dyDescent="0.2"/>
    <row r="5" spans="1:19" s="532" customFormat="1" ht="17" thickBot="1" x14ac:dyDescent="0.25">
      <c r="A5" s="524"/>
      <c r="B5" s="524"/>
      <c r="C5" s="524"/>
      <c r="D5" s="524"/>
      <c r="E5" s="531"/>
      <c r="F5" s="529"/>
      <c r="G5" s="529"/>
      <c r="H5" s="529"/>
      <c r="I5" s="531"/>
      <c r="J5" s="526"/>
      <c r="K5" s="526"/>
      <c r="L5" s="526"/>
      <c r="M5" s="531"/>
      <c r="N5" s="528"/>
      <c r="O5" s="528"/>
      <c r="P5" s="528"/>
      <c r="Q5" s="531"/>
      <c r="R5" s="531"/>
      <c r="S5" s="531"/>
    </row>
    <row r="6" spans="1:19" s="532" customFormat="1" ht="31" customHeight="1" thickBot="1" x14ac:dyDescent="0.25">
      <c r="A6" s="524"/>
      <c r="B6" s="537" t="s">
        <v>1794</v>
      </c>
      <c r="C6" s="538"/>
      <c r="D6" s="524"/>
      <c r="E6" s="531"/>
      <c r="F6" s="535"/>
      <c r="G6" s="543" t="s">
        <v>1788</v>
      </c>
      <c r="H6" s="543"/>
      <c r="I6" s="539"/>
      <c r="J6" s="540"/>
      <c r="K6" s="540" t="s">
        <v>1790</v>
      </c>
      <c r="L6" s="534"/>
      <c r="M6" s="533"/>
      <c r="N6" s="528"/>
      <c r="O6" s="544" t="s">
        <v>1805</v>
      </c>
      <c r="P6" s="528"/>
      <c r="Q6" s="533"/>
      <c r="R6" s="531"/>
      <c r="S6" s="531"/>
    </row>
    <row r="7" spans="1:19" s="532" customFormat="1" x14ac:dyDescent="0.2">
      <c r="A7" s="524"/>
      <c r="B7" s="524"/>
      <c r="C7" s="524"/>
      <c r="D7" s="524"/>
      <c r="E7" s="531"/>
      <c r="F7" s="529"/>
      <c r="G7" s="529"/>
      <c r="H7" s="529"/>
      <c r="I7" s="531"/>
      <c r="J7" s="526"/>
      <c r="K7" s="526"/>
      <c r="L7" s="526"/>
      <c r="M7" s="531"/>
      <c r="N7" s="528"/>
      <c r="O7" s="528"/>
      <c r="P7" s="528"/>
      <c r="Q7" s="531"/>
      <c r="R7" s="531"/>
      <c r="S7" s="531"/>
    </row>
    <row r="8" spans="1:19" s="532" customFormat="1" ht="76" x14ac:dyDescent="0.2">
      <c r="A8" s="524"/>
      <c r="B8" s="558" t="s">
        <v>1793</v>
      </c>
      <c r="C8" s="559"/>
      <c r="D8" s="536"/>
      <c r="E8" s="531"/>
      <c r="F8" s="529"/>
      <c r="G8" s="550" t="s">
        <v>1807</v>
      </c>
      <c r="H8" s="529"/>
      <c r="I8" s="531"/>
      <c r="J8" s="526"/>
      <c r="K8" s="549" t="s">
        <v>1809</v>
      </c>
      <c r="L8" s="526"/>
      <c r="M8" s="531"/>
      <c r="N8" s="528"/>
      <c r="O8" s="552" t="s">
        <v>1816</v>
      </c>
      <c r="P8" s="528"/>
      <c r="Q8" s="531"/>
      <c r="R8" s="531"/>
      <c r="S8" s="531"/>
    </row>
    <row r="9" spans="1:19" s="532" customFormat="1" ht="17" customHeight="1" thickBot="1" x14ac:dyDescent="0.25">
      <c r="A9" s="524"/>
      <c r="B9" s="527"/>
      <c r="C9" s="527"/>
      <c r="D9" s="524"/>
      <c r="E9" s="531"/>
      <c r="F9" s="529"/>
      <c r="G9" s="529"/>
      <c r="H9" s="529"/>
      <c r="I9" s="531"/>
      <c r="J9" s="526"/>
      <c r="K9" s="526"/>
      <c r="L9" s="526"/>
      <c r="M9" s="531"/>
      <c r="N9" s="528"/>
      <c r="O9" s="528"/>
      <c r="P9" s="528"/>
      <c r="Q9" s="531"/>
      <c r="R9" s="531"/>
      <c r="S9" s="531"/>
    </row>
    <row r="10" spans="1:19" s="532" customFormat="1" ht="100" customHeight="1" thickBot="1" x14ac:dyDescent="0.25">
      <c r="A10" s="524"/>
      <c r="B10" s="567" t="e">
        <f>Filters!T2</f>
        <v>#N/A</v>
      </c>
      <c r="C10" s="568"/>
      <c r="D10" s="524"/>
      <c r="E10" s="531"/>
      <c r="F10" s="529"/>
      <c r="G10" s="554" t="s">
        <v>1823</v>
      </c>
      <c r="H10" s="529"/>
      <c r="I10" s="531"/>
      <c r="J10" s="526"/>
      <c r="K10" s="554" t="s">
        <v>1823</v>
      </c>
      <c r="L10" s="526"/>
      <c r="M10" s="531"/>
      <c r="N10" s="528"/>
      <c r="O10" s="564"/>
      <c r="P10" s="528"/>
      <c r="Q10" s="531"/>
      <c r="R10" s="531"/>
      <c r="S10" s="531"/>
    </row>
    <row r="11" spans="1:19" s="532" customFormat="1" x14ac:dyDescent="0.2">
      <c r="A11" s="524"/>
      <c r="B11" s="569"/>
      <c r="C11" s="570"/>
      <c r="D11" s="524"/>
      <c r="E11" s="531"/>
      <c r="F11" s="529"/>
      <c r="G11" s="529"/>
      <c r="H11" s="529"/>
      <c r="I11" s="531"/>
      <c r="J11" s="526"/>
      <c r="K11" s="526"/>
      <c r="L11" s="526"/>
      <c r="M11" s="531"/>
      <c r="N11" s="528"/>
      <c r="O11" s="565"/>
      <c r="P11" s="528"/>
      <c r="Q11" s="531"/>
      <c r="R11" s="531"/>
      <c r="S11" s="531"/>
    </row>
    <row r="12" spans="1:19" s="532" customFormat="1" ht="57" x14ac:dyDescent="0.2">
      <c r="A12" s="524"/>
      <c r="B12" s="569"/>
      <c r="C12" s="570"/>
      <c r="D12" s="524"/>
      <c r="E12" s="531"/>
      <c r="F12" s="529"/>
      <c r="G12" s="550" t="s">
        <v>1808</v>
      </c>
      <c r="H12" s="529"/>
      <c r="I12" s="531"/>
      <c r="J12" s="526"/>
      <c r="K12" s="549" t="s">
        <v>1810</v>
      </c>
      <c r="L12" s="526"/>
      <c r="M12" s="531"/>
      <c r="N12" s="528"/>
      <c r="O12" s="565"/>
      <c r="P12" s="528"/>
      <c r="Q12" s="531"/>
      <c r="R12" s="531"/>
      <c r="S12" s="531"/>
    </row>
    <row r="13" spans="1:19" s="532" customFormat="1" ht="17" thickBot="1" x14ac:dyDescent="0.25">
      <c r="A13" s="524"/>
      <c r="B13" s="569"/>
      <c r="C13" s="570"/>
      <c r="D13" s="524"/>
      <c r="E13" s="531"/>
      <c r="F13" s="529"/>
      <c r="G13" s="529"/>
      <c r="H13" s="529"/>
      <c r="I13" s="531"/>
      <c r="J13" s="526"/>
      <c r="K13" s="526"/>
      <c r="L13" s="526"/>
      <c r="M13" s="531"/>
      <c r="N13" s="528"/>
      <c r="O13" s="565"/>
      <c r="P13" s="528"/>
      <c r="Q13" s="531"/>
      <c r="R13" s="531"/>
      <c r="S13" s="531"/>
    </row>
    <row r="14" spans="1:19" s="532" customFormat="1" ht="94" customHeight="1" thickBot="1" x14ac:dyDescent="0.25">
      <c r="A14" s="524"/>
      <c r="B14" s="569"/>
      <c r="C14" s="570"/>
      <c r="D14" s="524"/>
      <c r="E14" s="531"/>
      <c r="F14" s="529"/>
      <c r="G14" s="554" t="s">
        <v>1823</v>
      </c>
      <c r="H14" s="529"/>
      <c r="I14" s="531"/>
      <c r="J14" s="526"/>
      <c r="K14" s="554" t="s">
        <v>1823</v>
      </c>
      <c r="L14" s="526"/>
      <c r="M14" s="531"/>
      <c r="N14" s="528"/>
      <c r="O14" s="565"/>
      <c r="P14" s="528"/>
      <c r="Q14" s="531"/>
      <c r="R14" s="531"/>
      <c r="S14" s="531"/>
    </row>
    <row r="15" spans="1:19" s="532" customFormat="1" x14ac:dyDescent="0.2">
      <c r="A15" s="524"/>
      <c r="B15" s="569"/>
      <c r="C15" s="570"/>
      <c r="D15" s="524"/>
      <c r="E15" s="531"/>
      <c r="F15" s="529"/>
      <c r="G15" s="529"/>
      <c r="H15" s="529"/>
      <c r="I15" s="531"/>
      <c r="J15" s="526"/>
      <c r="K15" s="526"/>
      <c r="L15" s="526"/>
      <c r="M15" s="531"/>
      <c r="N15" s="528"/>
      <c r="O15" s="565"/>
      <c r="P15" s="528"/>
      <c r="Q15" s="531"/>
      <c r="R15" s="531"/>
      <c r="S15" s="531"/>
    </row>
    <row r="16" spans="1:19" s="532" customFormat="1" ht="76" x14ac:dyDescent="0.2">
      <c r="A16" s="524"/>
      <c r="B16" s="569"/>
      <c r="C16" s="570"/>
      <c r="D16" s="524"/>
      <c r="E16" s="531"/>
      <c r="F16" s="529"/>
      <c r="G16" s="550" t="s">
        <v>1813</v>
      </c>
      <c r="H16" s="529"/>
      <c r="I16" s="531"/>
      <c r="J16" s="526"/>
      <c r="K16" s="551" t="s">
        <v>1796</v>
      </c>
      <c r="L16" s="526"/>
      <c r="M16" s="531"/>
      <c r="N16" s="528"/>
      <c r="O16" s="565"/>
      <c r="P16" s="528"/>
      <c r="Q16" s="531"/>
      <c r="R16" s="531"/>
      <c r="S16" s="531"/>
    </row>
    <row r="17" spans="1:19" s="532" customFormat="1" ht="17" thickBot="1" x14ac:dyDescent="0.25">
      <c r="A17" s="524"/>
      <c r="B17" s="571"/>
      <c r="C17" s="572"/>
      <c r="D17" s="524"/>
      <c r="E17" s="531"/>
      <c r="F17" s="529"/>
      <c r="G17" s="529"/>
      <c r="H17" s="529"/>
      <c r="I17" s="531"/>
      <c r="J17" s="526"/>
      <c r="K17" s="526"/>
      <c r="L17" s="526"/>
      <c r="M17" s="531"/>
      <c r="N17" s="528"/>
      <c r="O17" s="565"/>
      <c r="P17" s="528"/>
      <c r="Q17" s="531"/>
      <c r="R17" s="531"/>
      <c r="S17" s="531"/>
    </row>
    <row r="18" spans="1:19" s="532" customFormat="1" ht="106" customHeight="1" thickBot="1" x14ac:dyDescent="0.25">
      <c r="A18" s="524"/>
      <c r="B18" s="580" t="s">
        <v>1804</v>
      </c>
      <c r="C18" s="580"/>
      <c r="D18" s="524"/>
      <c r="E18" s="531"/>
      <c r="F18" s="529"/>
      <c r="G18" s="554" t="s">
        <v>1823</v>
      </c>
      <c r="H18" s="529"/>
      <c r="I18" s="531"/>
      <c r="J18" s="526"/>
      <c r="K18" s="554" t="s">
        <v>1823</v>
      </c>
      <c r="L18" s="526"/>
      <c r="M18" s="531"/>
      <c r="N18" s="528"/>
      <c r="O18" s="566"/>
      <c r="P18" s="528"/>
      <c r="Q18" s="531"/>
      <c r="R18" s="531"/>
      <c r="S18" s="531"/>
    </row>
    <row r="19" spans="1:19" s="532" customFormat="1" x14ac:dyDescent="0.2">
      <c r="A19" s="524"/>
      <c r="B19" s="573" t="e">
        <f>Filters!O2</f>
        <v>#N/A</v>
      </c>
      <c r="C19" s="574"/>
      <c r="D19" s="524"/>
      <c r="E19" s="531"/>
      <c r="F19" s="529"/>
      <c r="G19" s="529"/>
      <c r="H19" s="529"/>
      <c r="I19" s="531"/>
      <c r="J19" s="526"/>
      <c r="K19" s="526"/>
      <c r="L19" s="526"/>
      <c r="M19" s="531"/>
      <c r="N19" s="528"/>
      <c r="O19" s="528"/>
      <c r="P19" s="528"/>
      <c r="Q19" s="531"/>
      <c r="R19" s="531"/>
      <c r="S19" s="531"/>
    </row>
    <row r="20" spans="1:19" s="532" customFormat="1" x14ac:dyDescent="0.2">
      <c r="A20" s="524"/>
      <c r="B20" s="575"/>
      <c r="C20" s="576"/>
      <c r="D20" s="524"/>
      <c r="E20" s="531"/>
      <c r="F20" s="529"/>
      <c r="G20" s="529"/>
      <c r="H20" s="529"/>
      <c r="I20" s="531"/>
      <c r="J20" s="526"/>
      <c r="K20" s="526"/>
      <c r="L20" s="526"/>
      <c r="M20" s="531"/>
      <c r="N20" s="528"/>
      <c r="O20" s="528"/>
      <c r="P20" s="528"/>
      <c r="Q20" s="531"/>
      <c r="R20" s="531"/>
      <c r="S20" s="531"/>
    </row>
    <row r="21" spans="1:19" s="531" customFormat="1" ht="24" x14ac:dyDescent="0.2">
      <c r="A21" s="524"/>
      <c r="B21" s="575"/>
      <c r="C21" s="576"/>
      <c r="D21" s="524"/>
      <c r="N21" s="528"/>
      <c r="O21" s="544" t="s">
        <v>1798</v>
      </c>
      <c r="P21" s="528"/>
    </row>
    <row r="22" spans="1:19" s="532" customFormat="1" x14ac:dyDescent="0.2">
      <c r="A22" s="524"/>
      <c r="B22" s="575"/>
      <c r="C22" s="576"/>
      <c r="D22" s="524"/>
      <c r="E22" s="531"/>
      <c r="F22" s="529"/>
      <c r="G22" s="529"/>
      <c r="H22" s="529"/>
      <c r="I22" s="531"/>
      <c r="J22" s="529"/>
      <c r="K22" s="529"/>
      <c r="L22" s="529"/>
      <c r="M22" s="531"/>
      <c r="N22" s="528"/>
      <c r="O22" s="528"/>
      <c r="P22" s="528"/>
      <c r="Q22" s="531"/>
      <c r="R22" s="531"/>
      <c r="S22" s="531"/>
    </row>
    <row r="23" spans="1:19" s="532" customFormat="1" ht="24" x14ac:dyDescent="0.2">
      <c r="A23" s="524"/>
      <c r="B23" s="575"/>
      <c r="C23" s="576"/>
      <c r="D23" s="524"/>
      <c r="E23" s="531"/>
      <c r="F23" s="535"/>
      <c r="G23" s="543" t="s">
        <v>1789</v>
      </c>
      <c r="H23" s="543"/>
      <c r="I23" s="545"/>
      <c r="J23" s="546"/>
      <c r="K23" s="543" t="s">
        <v>1791</v>
      </c>
      <c r="L23" s="529"/>
      <c r="M23" s="531"/>
      <c r="N23" s="528"/>
      <c r="O23" s="560" t="s">
        <v>1797</v>
      </c>
      <c r="P23" s="528"/>
      <c r="Q23" s="531"/>
      <c r="R23" s="531"/>
      <c r="S23" s="531"/>
    </row>
    <row r="24" spans="1:19" s="532" customFormat="1" x14ac:dyDescent="0.2">
      <c r="A24" s="524"/>
      <c r="B24" s="575"/>
      <c r="C24" s="576"/>
      <c r="D24" s="524"/>
      <c r="E24" s="531"/>
      <c r="F24" s="529"/>
      <c r="G24" s="529"/>
      <c r="H24" s="529"/>
      <c r="I24" s="531"/>
      <c r="J24" s="529"/>
      <c r="K24" s="529"/>
      <c r="L24" s="529"/>
      <c r="M24" s="531"/>
      <c r="N24" s="528"/>
      <c r="O24" s="560"/>
      <c r="P24" s="528"/>
      <c r="Q24" s="531"/>
      <c r="R24" s="531"/>
      <c r="S24" s="531"/>
    </row>
    <row r="25" spans="1:19" s="532" customFormat="1" ht="50" customHeight="1" thickBot="1" x14ac:dyDescent="0.25">
      <c r="A25" s="524"/>
      <c r="B25" s="577"/>
      <c r="C25" s="578"/>
      <c r="D25" s="524"/>
      <c r="E25" s="531"/>
      <c r="F25" s="529"/>
      <c r="G25" s="550" t="s">
        <v>1802</v>
      </c>
      <c r="H25" s="529"/>
      <c r="I25" s="531"/>
      <c r="J25" s="529"/>
      <c r="K25" s="550" t="s">
        <v>1799</v>
      </c>
      <c r="L25" s="529"/>
      <c r="M25" s="531"/>
      <c r="N25" s="528"/>
      <c r="O25" s="553" t="s">
        <v>1806</v>
      </c>
      <c r="P25" s="528"/>
      <c r="Q25" s="531"/>
      <c r="R25" s="531"/>
      <c r="S25" s="531"/>
    </row>
    <row r="26" spans="1:19" s="532" customFormat="1" ht="78" customHeight="1" thickBot="1" x14ac:dyDescent="0.25">
      <c r="A26" s="536"/>
      <c r="B26" s="579" t="s">
        <v>1803</v>
      </c>
      <c r="C26" s="579"/>
      <c r="D26" s="536"/>
      <c r="E26" s="531"/>
      <c r="F26" s="529"/>
      <c r="G26" s="554" t="s">
        <v>1823</v>
      </c>
      <c r="H26" s="529"/>
      <c r="I26" s="531"/>
      <c r="J26" s="529"/>
      <c r="K26" s="554" t="s">
        <v>1823</v>
      </c>
      <c r="L26" s="529"/>
      <c r="M26" s="531"/>
      <c r="N26" s="528"/>
      <c r="O26" s="561"/>
      <c r="P26" s="528"/>
      <c r="Q26" s="531"/>
      <c r="R26" s="531"/>
      <c r="S26" s="531"/>
    </row>
    <row r="27" spans="1:19" s="532" customFormat="1" ht="19" customHeight="1" x14ac:dyDescent="0.2">
      <c r="A27" s="524"/>
      <c r="B27" s="573" t="e">
        <f>Filters!P2</f>
        <v>#N/A</v>
      </c>
      <c r="C27" s="574"/>
      <c r="D27" s="524"/>
      <c r="E27" s="531"/>
      <c r="F27" s="529"/>
      <c r="G27" s="529"/>
      <c r="H27" s="529"/>
      <c r="I27" s="531"/>
      <c r="J27" s="529"/>
      <c r="K27" s="529"/>
      <c r="L27" s="529"/>
      <c r="M27" s="531"/>
      <c r="N27" s="528"/>
      <c r="O27" s="562"/>
      <c r="P27" s="528"/>
      <c r="Q27" s="531"/>
      <c r="R27" s="531"/>
      <c r="S27" s="531"/>
    </row>
    <row r="28" spans="1:19" s="532" customFormat="1" ht="57" x14ac:dyDescent="0.2">
      <c r="A28" s="524"/>
      <c r="B28" s="575"/>
      <c r="C28" s="576"/>
      <c r="D28" s="524"/>
      <c r="E28" s="531"/>
      <c r="F28" s="529"/>
      <c r="G28" s="550" t="s">
        <v>1792</v>
      </c>
      <c r="H28" s="529"/>
      <c r="I28" s="531"/>
      <c r="J28" s="529"/>
      <c r="K28" s="550" t="s">
        <v>1817</v>
      </c>
      <c r="L28" s="529"/>
      <c r="M28" s="531"/>
      <c r="N28" s="528"/>
      <c r="O28" s="562"/>
      <c r="P28" s="528"/>
      <c r="Q28" s="531"/>
      <c r="R28" s="531"/>
      <c r="S28" s="531"/>
    </row>
    <row r="29" spans="1:19" s="532" customFormat="1" ht="17" thickBot="1" x14ac:dyDescent="0.25">
      <c r="A29" s="524"/>
      <c r="B29" s="575"/>
      <c r="C29" s="576"/>
      <c r="D29" s="524"/>
      <c r="E29" s="531"/>
      <c r="F29" s="529"/>
      <c r="G29" s="529"/>
      <c r="H29" s="529"/>
      <c r="I29" s="531"/>
      <c r="J29" s="529"/>
      <c r="K29" s="529"/>
      <c r="L29" s="529"/>
      <c r="M29" s="531"/>
      <c r="N29" s="528"/>
      <c r="O29" s="562"/>
      <c r="P29" s="528"/>
      <c r="Q29" s="531"/>
      <c r="R29" s="531"/>
      <c r="S29" s="531"/>
    </row>
    <row r="30" spans="1:19" s="532" customFormat="1" ht="80" customHeight="1" thickBot="1" x14ac:dyDescent="0.25">
      <c r="A30" s="524"/>
      <c r="B30" s="575"/>
      <c r="C30" s="576"/>
      <c r="D30" s="524"/>
      <c r="E30" s="531"/>
      <c r="F30" s="529"/>
      <c r="G30" s="554" t="s">
        <v>1823</v>
      </c>
      <c r="H30" s="529"/>
      <c r="I30" s="531"/>
      <c r="J30" s="529"/>
      <c r="K30" s="554" t="s">
        <v>1823</v>
      </c>
      <c r="L30" s="529"/>
      <c r="M30" s="531"/>
      <c r="N30" s="528"/>
      <c r="O30" s="562"/>
      <c r="P30" s="528"/>
      <c r="Q30" s="531"/>
      <c r="R30" s="531"/>
      <c r="S30" s="531"/>
    </row>
    <row r="31" spans="1:19" s="532" customFormat="1" x14ac:dyDescent="0.2">
      <c r="A31" s="524"/>
      <c r="B31" s="575"/>
      <c r="C31" s="576"/>
      <c r="D31" s="524"/>
      <c r="E31" s="531"/>
      <c r="F31" s="529"/>
      <c r="G31" s="529"/>
      <c r="H31" s="529"/>
      <c r="I31" s="531"/>
      <c r="J31" s="529"/>
      <c r="K31" s="529"/>
      <c r="L31" s="529"/>
      <c r="M31" s="531"/>
      <c r="N31" s="528"/>
      <c r="O31" s="562"/>
      <c r="P31" s="528"/>
      <c r="Q31" s="531"/>
      <c r="R31" s="531"/>
      <c r="S31" s="531"/>
    </row>
    <row r="32" spans="1:19" s="532" customFormat="1" x14ac:dyDescent="0.2">
      <c r="A32" s="524"/>
      <c r="B32" s="575"/>
      <c r="C32" s="576"/>
      <c r="D32" s="524"/>
      <c r="E32" s="531"/>
      <c r="F32" s="531"/>
      <c r="G32" s="548"/>
      <c r="H32" s="531"/>
      <c r="I32" s="531"/>
      <c r="J32" s="531"/>
      <c r="K32" s="531"/>
      <c r="L32" s="531"/>
      <c r="M32" s="531"/>
      <c r="N32" s="528"/>
      <c r="O32" s="562"/>
      <c r="P32" s="528"/>
      <c r="Q32" s="531"/>
      <c r="R32" s="531"/>
      <c r="S32" s="531"/>
    </row>
    <row r="33" spans="1:19" s="532" customFormat="1" x14ac:dyDescent="0.2">
      <c r="A33" s="525"/>
      <c r="B33" s="575"/>
      <c r="C33" s="576"/>
      <c r="D33" s="525"/>
      <c r="E33" s="531"/>
      <c r="F33" s="529"/>
      <c r="G33" s="547"/>
      <c r="H33" s="529"/>
      <c r="I33" s="529"/>
      <c r="J33" s="529"/>
      <c r="K33" s="529"/>
      <c r="L33" s="529"/>
      <c r="M33" s="531"/>
      <c r="N33" s="528"/>
      <c r="O33" s="562"/>
      <c r="P33" s="528"/>
      <c r="Q33" s="531"/>
      <c r="R33" s="531"/>
      <c r="S33" s="531"/>
    </row>
    <row r="34" spans="1:19" s="532" customFormat="1" ht="21" x14ac:dyDescent="0.2">
      <c r="A34" s="525"/>
      <c r="B34" s="575"/>
      <c r="C34" s="576"/>
      <c r="D34" s="525"/>
      <c r="E34" s="531"/>
      <c r="F34" s="529"/>
      <c r="G34" s="557" t="s">
        <v>1815</v>
      </c>
      <c r="H34" s="557"/>
      <c r="I34" s="557"/>
      <c r="J34" s="557"/>
      <c r="K34" s="557"/>
      <c r="L34" s="529"/>
      <c r="M34" s="531"/>
      <c r="N34" s="528"/>
      <c r="O34" s="562"/>
      <c r="P34" s="528"/>
      <c r="Q34" s="531"/>
      <c r="R34" s="531"/>
      <c r="S34" s="531"/>
    </row>
    <row r="35" spans="1:19" s="532" customFormat="1" ht="96" customHeight="1" thickBot="1" x14ac:dyDescent="0.25">
      <c r="A35" s="524"/>
      <c r="B35" s="575"/>
      <c r="C35" s="576"/>
      <c r="D35" s="524"/>
      <c r="E35" s="531"/>
      <c r="F35" s="529"/>
      <c r="G35" s="550" t="s">
        <v>1812</v>
      </c>
      <c r="H35" s="529"/>
      <c r="I35" s="529"/>
      <c r="J35" s="529"/>
      <c r="K35" s="550" t="s">
        <v>1814</v>
      </c>
      <c r="L35" s="529"/>
      <c r="M35" s="531"/>
      <c r="N35" s="528"/>
      <c r="O35" s="562"/>
      <c r="P35" s="528"/>
      <c r="Q35" s="531"/>
      <c r="R35" s="531"/>
      <c r="S35" s="531"/>
    </row>
    <row r="36" spans="1:19" s="532" customFormat="1" ht="27" customHeight="1" thickBot="1" x14ac:dyDescent="0.25">
      <c r="A36" s="524"/>
      <c r="B36" s="577"/>
      <c r="C36" s="578"/>
      <c r="D36" s="524"/>
      <c r="E36" s="531"/>
      <c r="F36" s="529"/>
      <c r="G36" s="554" t="s">
        <v>1811</v>
      </c>
      <c r="H36" s="529"/>
      <c r="I36" s="529"/>
      <c r="J36" s="529"/>
      <c r="K36" s="554" t="s">
        <v>1811</v>
      </c>
      <c r="L36" s="529"/>
      <c r="M36" s="531"/>
      <c r="N36" s="528"/>
      <c r="O36" s="563"/>
      <c r="P36" s="528"/>
      <c r="Q36" s="531"/>
      <c r="R36" s="531"/>
      <c r="S36" s="531"/>
    </row>
    <row r="37" spans="1:19" s="532" customFormat="1" x14ac:dyDescent="0.2">
      <c r="A37" s="524"/>
      <c r="B37" s="524"/>
      <c r="C37" s="524"/>
      <c r="D37" s="524"/>
      <c r="E37" s="531"/>
      <c r="F37" s="529"/>
      <c r="G37" s="529"/>
      <c r="H37" s="529"/>
      <c r="I37" s="529"/>
      <c r="J37" s="529"/>
      <c r="K37" s="529"/>
      <c r="L37" s="529"/>
      <c r="M37" s="531"/>
      <c r="N37" s="528"/>
      <c r="O37" s="528"/>
      <c r="P37" s="528"/>
      <c r="Q37" s="531"/>
      <c r="R37" s="531"/>
      <c r="S37" s="531"/>
    </row>
    <row r="38" spans="1:19" s="532" customFormat="1" x14ac:dyDescent="0.2">
      <c r="A38" s="524"/>
      <c r="B38" s="524"/>
      <c r="C38" s="524"/>
      <c r="D38" s="524"/>
      <c r="E38" s="531"/>
      <c r="F38" s="529"/>
      <c r="G38" s="529"/>
      <c r="H38" s="529"/>
      <c r="I38" s="529"/>
      <c r="J38" s="529"/>
      <c r="K38" s="529"/>
      <c r="L38" s="529"/>
      <c r="M38" s="531"/>
      <c r="N38" s="528"/>
      <c r="O38" s="528"/>
      <c r="P38" s="528"/>
      <c r="Q38" s="531"/>
      <c r="R38" s="531"/>
      <c r="S38" s="531"/>
    </row>
    <row r="39" spans="1:19" s="531" customFormat="1" x14ac:dyDescent="0.2"/>
    <row r="40" spans="1:19" s="531" customFormat="1" x14ac:dyDescent="0.2"/>
    <row r="41" spans="1:19" s="531" customFormat="1" x14ac:dyDescent="0.2"/>
  </sheetData>
  <sheetProtection password="DBFB" sheet="1" objects="1" scenarios="1" selectLockedCells="1"/>
  <mergeCells count="12">
    <mergeCell ref="G1:K3"/>
    <mergeCell ref="B1:C3"/>
    <mergeCell ref="G34:K34"/>
    <mergeCell ref="B8:C8"/>
    <mergeCell ref="O23:O24"/>
    <mergeCell ref="O26:O36"/>
    <mergeCell ref="O10:O18"/>
    <mergeCell ref="B10:C17"/>
    <mergeCell ref="B19:C25"/>
    <mergeCell ref="B27:C36"/>
    <mergeCell ref="B26:C26"/>
    <mergeCell ref="B18:C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tabColor rgb="FFFF0000"/>
  </sheetPr>
  <dimension ref="A1:FW303"/>
  <sheetViews>
    <sheetView zoomScale="93" zoomScaleNormal="80" zoomScalePageLayoutView="80" workbookViewId="0">
      <pane xSplit="5" topLeftCell="O1" activePane="topRight" state="frozen"/>
      <selection pane="topRight"/>
    </sheetView>
  </sheetViews>
  <sheetFormatPr baseColWidth="10" defaultColWidth="10.83203125" defaultRowHeight="33" customHeight="1" x14ac:dyDescent="0.2"/>
  <cols>
    <col min="1" max="1" width="11.33203125" style="80" customWidth="1"/>
    <col min="2" max="2" width="14.83203125" style="80" customWidth="1"/>
    <col min="3" max="3" width="14.83203125" style="11" hidden="1" customWidth="1"/>
    <col min="4" max="4" width="14.83203125" style="80" hidden="1" customWidth="1"/>
    <col min="5" max="5" width="22.33203125" style="130" customWidth="1"/>
    <col min="6" max="6" width="15.6640625" style="80" customWidth="1"/>
    <col min="7" max="7" width="12.5" style="80" customWidth="1"/>
    <col min="8" max="8" width="6.83203125" style="80" customWidth="1"/>
    <col min="9" max="9" width="9.1640625" style="80" customWidth="1"/>
    <col min="10" max="10" width="9.5" style="80" customWidth="1"/>
    <col min="11" max="11" width="6.6640625" style="80" customWidth="1"/>
    <col min="12" max="12" width="13" style="103" customWidth="1"/>
    <col min="13" max="13" width="7.5" style="103" customWidth="1"/>
    <col min="14" max="14" width="12.6640625" style="107" customWidth="1"/>
    <col min="15" max="16" width="16.6640625" style="3" customWidth="1"/>
    <col min="17" max="19" width="10.83203125" style="31" customWidth="1"/>
    <col min="20" max="20" width="16.83203125" style="3" customWidth="1"/>
    <col min="21" max="21" width="14.6640625" style="3" customWidth="1"/>
    <col min="22" max="22" width="13.6640625" style="3" customWidth="1"/>
    <col min="23" max="23" width="14.83203125" style="3" customWidth="1"/>
    <col min="24" max="24" width="15.83203125" style="3" customWidth="1"/>
    <col min="25" max="25" width="10.5" style="3" customWidth="1"/>
    <col min="26" max="33" width="10.83203125" style="3" customWidth="1"/>
    <col min="34" max="40" width="10.6640625" style="4" customWidth="1"/>
    <col min="41" max="47" width="10.6640625" style="404" customWidth="1"/>
    <col min="48" max="48" width="12.1640625" style="404" customWidth="1"/>
    <col min="49" max="52" width="10.6640625" style="404" customWidth="1"/>
    <col min="53" max="54" width="12" style="1" customWidth="1"/>
    <col min="55" max="55" width="10.6640625" style="405" customWidth="1"/>
    <col min="56" max="56" width="10.6640625" style="406" customWidth="1"/>
    <col min="57" max="57" width="10.6640625" style="405" customWidth="1"/>
    <col min="58" max="60" width="10.83203125" style="31" customWidth="1"/>
    <col min="61" max="63" width="10.6640625" style="406" customWidth="1"/>
    <col min="64" max="67" width="10.6640625" style="404" customWidth="1"/>
    <col min="68" max="75" width="10.6640625" style="2" customWidth="1"/>
    <col min="76" max="76" width="12.1640625" style="31" customWidth="1"/>
    <col min="77" max="80" width="10.83203125" style="31" customWidth="1"/>
    <col min="81" max="81" width="12.33203125" style="405" customWidth="1"/>
    <col min="82" max="85" width="10.6640625" style="405" customWidth="1"/>
    <col min="86" max="87" width="10.83203125" style="31" customWidth="1"/>
    <col min="88" max="88" width="10.6640625" style="405" customWidth="1"/>
    <col min="89" max="94" width="10.83203125" style="407" customWidth="1"/>
    <col min="95" max="99" width="10.83203125" style="81" customWidth="1"/>
    <col min="100" max="100" width="10.83203125" style="31" customWidth="1"/>
    <col min="101" max="104" width="10.6640625" style="407" customWidth="1"/>
    <col min="105" max="106" width="10.6640625" style="2" customWidth="1"/>
    <col min="107" max="107" width="10.83203125" style="31" customWidth="1"/>
    <col min="108" max="108" width="10.83203125" customWidth="1"/>
    <col min="109" max="115" width="10.83203125" style="31" customWidth="1"/>
    <col min="116" max="116" width="13.1640625" style="31" customWidth="1"/>
    <col min="117" max="120" width="10.83203125" style="31" customWidth="1"/>
    <col min="121" max="121" width="10.83203125" style="81" customWidth="1"/>
    <col min="122" max="122" width="8.1640625" style="31" customWidth="1"/>
    <col min="123" max="123" width="13" style="31" customWidth="1"/>
    <col min="124" max="125" width="9.5" style="31" customWidth="1"/>
    <col min="126" max="128" width="10.83203125" style="31" customWidth="1"/>
    <col min="129" max="129" width="25.1640625" style="31" customWidth="1"/>
    <col min="130" max="130" width="28.33203125" style="121" customWidth="1"/>
    <col min="131" max="131" width="24.6640625" style="121" customWidth="1"/>
    <col min="132" max="132" width="34.83203125" style="121" customWidth="1"/>
    <col min="133" max="133" width="30.1640625" style="121" customWidth="1"/>
    <col min="134" max="169" width="10.83203125" style="31" customWidth="1"/>
    <col min="170" max="170" width="5.33203125" style="130" customWidth="1"/>
    <col min="171" max="171" width="5.5" style="130" customWidth="1"/>
    <col min="172" max="172" width="22.33203125" style="130" customWidth="1"/>
    <col min="173" max="173" width="10.83203125" style="31" customWidth="1"/>
    <col min="174" max="16384" width="10.83203125" style="31"/>
  </cols>
  <sheetData>
    <row r="1" spans="1:179" s="81" customFormat="1" ht="39" customHeight="1" x14ac:dyDescent="0.2">
      <c r="A1" s="394">
        <f>'Target 15'!C6</f>
        <v>0</v>
      </c>
      <c r="B1" s="279"/>
      <c r="C1" s="11"/>
      <c r="D1" s="80"/>
      <c r="E1" s="280"/>
      <c r="F1" s="279"/>
      <c r="G1" s="279"/>
      <c r="H1" s="279"/>
      <c r="I1" s="279"/>
      <c r="J1" s="279"/>
      <c r="K1" s="279"/>
      <c r="L1" s="104"/>
      <c r="M1" s="104"/>
      <c r="N1" s="108"/>
      <c r="O1" s="2"/>
      <c r="P1" s="2"/>
      <c r="T1" s="2"/>
      <c r="U1" s="2"/>
      <c r="V1" s="2"/>
      <c r="W1" s="2"/>
      <c r="X1" s="2"/>
      <c r="Y1" s="2"/>
      <c r="Z1" s="2"/>
      <c r="AA1" s="2"/>
      <c r="AB1" s="2"/>
      <c r="AC1" s="2"/>
      <c r="AD1" s="2"/>
      <c r="AE1" s="2"/>
      <c r="AF1" s="2"/>
      <c r="AG1" s="2"/>
      <c r="AH1" s="4"/>
      <c r="AI1" s="4"/>
      <c r="AJ1" s="4"/>
      <c r="AK1" s="4"/>
      <c r="AL1" s="4"/>
      <c r="AM1" s="4"/>
      <c r="AN1" s="4"/>
      <c r="AO1" s="404"/>
      <c r="AP1" s="404"/>
      <c r="AQ1" s="404"/>
      <c r="AR1" s="404"/>
      <c r="AS1" s="404"/>
      <c r="AT1" s="404"/>
      <c r="AU1" s="404"/>
      <c r="AV1" s="404"/>
      <c r="AW1" s="404"/>
      <c r="AX1" s="404"/>
      <c r="AY1" s="404"/>
      <c r="AZ1" s="404"/>
      <c r="BA1" s="2"/>
      <c r="BB1" s="2"/>
      <c r="BC1" s="405"/>
      <c r="BD1" s="406"/>
      <c r="BE1" s="405"/>
      <c r="BI1" s="406"/>
      <c r="BJ1" s="406"/>
      <c r="BK1" s="406"/>
      <c r="BL1" s="404"/>
      <c r="BM1" s="404"/>
      <c r="BN1" s="404"/>
      <c r="BO1" s="404"/>
      <c r="BP1" s="2"/>
      <c r="BQ1" s="2"/>
      <c r="BR1" s="2"/>
      <c r="BS1" s="2"/>
      <c r="BT1" s="2"/>
      <c r="BU1" s="2"/>
      <c r="BV1" s="2"/>
      <c r="BW1" s="2"/>
      <c r="CC1" s="405"/>
      <c r="CD1" s="405"/>
      <c r="CE1" s="405"/>
      <c r="CF1" s="405"/>
      <c r="CG1" s="405"/>
      <c r="CJ1" s="405"/>
      <c r="CK1" s="407"/>
      <c r="CL1" s="407"/>
      <c r="CM1" s="407"/>
      <c r="CN1" s="407"/>
      <c r="CO1" s="407"/>
      <c r="CP1" s="407"/>
      <c r="CW1" s="407"/>
      <c r="CX1" s="407"/>
      <c r="CY1" s="407"/>
      <c r="CZ1" s="407"/>
      <c r="DA1" s="2"/>
      <c r="DB1" s="2"/>
      <c r="DZ1" s="281"/>
      <c r="EA1" s="281"/>
      <c r="EB1" s="281"/>
      <c r="EC1" s="281"/>
      <c r="EZ1" s="81" t="s">
        <v>1368</v>
      </c>
      <c r="FN1" s="280"/>
      <c r="FO1" s="280"/>
      <c r="FP1" s="280"/>
    </row>
    <row r="2" spans="1:179" s="396" customFormat="1" ht="90" customHeight="1" x14ac:dyDescent="0.2">
      <c r="A2" s="397" t="s">
        <v>12</v>
      </c>
      <c r="B2" s="397"/>
      <c r="C2" s="397"/>
      <c r="D2" s="397"/>
      <c r="E2" s="398"/>
      <c r="F2" s="398" t="e">
        <f>VLOOKUP($A$1, $E$6:$FY$203,2,FALSE)</f>
        <v>#N/A</v>
      </c>
      <c r="G2" s="398" t="e">
        <f>VLOOKUP($A$1, $E$6:$FY$203,3,FALSE)</f>
        <v>#N/A</v>
      </c>
      <c r="H2" s="398" t="e">
        <f>VLOOKUP($A$1, $E$6:$FY$203,4,FALSE)</f>
        <v>#N/A</v>
      </c>
      <c r="I2" s="398" t="e">
        <f>VLOOKUP($A$1, $E$6:$FY$203,5,FALSE)</f>
        <v>#N/A</v>
      </c>
      <c r="J2" s="398" t="e">
        <f>VLOOKUP($A$1, $E$6:$FY$203,6,FALSE)</f>
        <v>#N/A</v>
      </c>
      <c r="K2" s="398" t="e">
        <f>VLOOKUP($A$1, $E$6:$FY$203,7,FALSE)</f>
        <v>#N/A</v>
      </c>
      <c r="L2" s="398" t="e">
        <f>VLOOKUP($A$1, $E$6:$FY$203,8,FALSE)</f>
        <v>#N/A</v>
      </c>
      <c r="M2" s="398" t="e">
        <f>VLOOKUP($A$1, $E$6:$FY$203,9,FALSE)</f>
        <v>#N/A</v>
      </c>
      <c r="N2" s="398" t="e">
        <f>VLOOKUP($A$1, $E$6:$FY$203,10,FALSE)</f>
        <v>#N/A</v>
      </c>
      <c r="O2" s="398" t="e">
        <f>VLOOKUP($A$1, $E$6:$FY$203,11,FALSE)</f>
        <v>#N/A</v>
      </c>
      <c r="P2" s="398" t="e">
        <f>VLOOKUP($A$1, $E$6:$FY$203,12,FALSE)</f>
        <v>#N/A</v>
      </c>
      <c r="Q2" s="398" t="e">
        <f>VLOOKUP($A$1, $E$6:$FY$203,13,FALSE)</f>
        <v>#N/A</v>
      </c>
      <c r="R2" s="398" t="e">
        <f>VLOOKUP($A$1, $E$6:$FY$203,14,FALSE)</f>
        <v>#N/A</v>
      </c>
      <c r="S2" s="398" t="e">
        <f>VLOOKUP($A$1, $E$6:$FY$203,15,FALSE)</f>
        <v>#N/A</v>
      </c>
      <c r="T2" s="398" t="e">
        <f>VLOOKUP($A$1, $E$6:$FY$203,16,FALSE)</f>
        <v>#N/A</v>
      </c>
      <c r="U2" s="398" t="e">
        <f>VLOOKUP($A$1, $E$6:$FY$203,17,FALSE)</f>
        <v>#N/A</v>
      </c>
      <c r="V2" s="398" t="e">
        <f>VLOOKUP($A$1, $E$6:$FY$203,18,FALSE)</f>
        <v>#N/A</v>
      </c>
      <c r="W2" s="398" t="e">
        <f>VLOOKUP($A$1, $E$6:$FY$203,19,FALSE)</f>
        <v>#N/A</v>
      </c>
      <c r="X2" s="398" t="e">
        <f>VLOOKUP($A$1, $E$6:$FY$203,20,FALSE)</f>
        <v>#N/A</v>
      </c>
      <c r="Y2" s="398" t="e">
        <f>VLOOKUP($A$1, $E$6:$FY$203,21,FALSE)</f>
        <v>#N/A</v>
      </c>
      <c r="Z2" s="398" t="e">
        <f>VLOOKUP($A$1, $E$6:$FY$203,22,FALSE)</f>
        <v>#N/A</v>
      </c>
      <c r="AA2" s="398" t="e">
        <f>VLOOKUP($A$1, $E$6:$FY$203,23,FALSE)</f>
        <v>#N/A</v>
      </c>
      <c r="AB2" s="398" t="e">
        <f>VLOOKUP($A$1, $E$6:$FY$203,24,FALSE)</f>
        <v>#N/A</v>
      </c>
      <c r="AC2" s="398" t="e">
        <f>VLOOKUP($A$1, $E$6:$FY$203,25,FALSE)</f>
        <v>#N/A</v>
      </c>
      <c r="AD2" s="398" t="e">
        <f>VLOOKUP($A$1, $E$6:$FY$203,26,FALSE)</f>
        <v>#N/A</v>
      </c>
      <c r="AE2" s="398" t="e">
        <f>VLOOKUP($A$1, $E$6:$FY$203,27,FALSE)</f>
        <v>#N/A</v>
      </c>
      <c r="AF2" s="398" t="e">
        <f>VLOOKUP($A$1, $E$6:$FY$203,28,FALSE)</f>
        <v>#N/A</v>
      </c>
      <c r="AG2" s="398" t="e">
        <f>VLOOKUP($A$1, $E$6:$FY$203,29,FALSE)</f>
        <v>#N/A</v>
      </c>
      <c r="AH2" s="398" t="e">
        <f>VLOOKUP($A$1, $E$6:$FY$203,30,FALSE)</f>
        <v>#N/A</v>
      </c>
      <c r="AI2" s="398" t="e">
        <f>VLOOKUP($A$1, $E$6:$FY$203,31,FALSE)</f>
        <v>#N/A</v>
      </c>
      <c r="AJ2" s="398" t="e">
        <f>VLOOKUP($A$1, $E$6:$FY$203,32,FALSE)</f>
        <v>#N/A</v>
      </c>
      <c r="AK2" s="398" t="e">
        <f>VLOOKUP($A$1, $E$6:$FY$203,33,FALSE)</f>
        <v>#N/A</v>
      </c>
      <c r="AL2" s="398" t="e">
        <f>VLOOKUP($A$1, $E$6:$FY$203,34,FALSE)</f>
        <v>#N/A</v>
      </c>
      <c r="AM2" s="398" t="e">
        <f>VLOOKUP($A$1, $E$6:$FY$203,35,FALSE)</f>
        <v>#N/A</v>
      </c>
      <c r="AN2" s="398" t="e">
        <f>VLOOKUP($A$1, $E$6:$FY$203,36,FALSE)</f>
        <v>#N/A</v>
      </c>
      <c r="AO2" s="398" t="e">
        <f>VLOOKUP($A$1, $E$6:$FY$203,37,FALSE)</f>
        <v>#N/A</v>
      </c>
      <c r="AP2" s="398" t="e">
        <f>VLOOKUP($A$1, $E$6:$FY$203,38,FALSE)</f>
        <v>#N/A</v>
      </c>
      <c r="AQ2" s="398" t="e">
        <f>VLOOKUP($A$1, $E$6:$FY$203,39,FALSE)</f>
        <v>#N/A</v>
      </c>
      <c r="AR2" s="398" t="e">
        <f>VLOOKUP($A$1, $E$6:$FY$203,40,FALSE)</f>
        <v>#N/A</v>
      </c>
      <c r="AS2" s="398" t="e">
        <f>VLOOKUP($A$1, $E$6:$FY$203,41,FALSE)</f>
        <v>#N/A</v>
      </c>
      <c r="AT2" s="398" t="e">
        <f>VLOOKUP($A$1, $E$6:$FY$203,42,FALSE)</f>
        <v>#N/A</v>
      </c>
      <c r="AU2" s="398" t="e">
        <f>VLOOKUP($A$1, $E$6:$FY$203,43,FALSE)</f>
        <v>#N/A</v>
      </c>
      <c r="AV2" s="398" t="e">
        <f>VLOOKUP($A$1, $E$6:$FY$203,44,FALSE)</f>
        <v>#N/A</v>
      </c>
      <c r="AW2" s="398" t="e">
        <f>VLOOKUP($A$1, $E$6:$FY$203,45,FALSE)</f>
        <v>#N/A</v>
      </c>
      <c r="AX2" s="398" t="e">
        <f>VLOOKUP($A$1, $E$6:$FY$203,46,FALSE)</f>
        <v>#N/A</v>
      </c>
      <c r="AY2" s="398" t="e">
        <f>VLOOKUP($A$1, $E$6:$FY$203,47,FALSE)</f>
        <v>#N/A</v>
      </c>
      <c r="AZ2" s="398" t="e">
        <f>VLOOKUP($A$1, $E$6:$FY$203,48,FALSE)</f>
        <v>#N/A</v>
      </c>
      <c r="BA2" s="398" t="e">
        <f>VLOOKUP($A$1, $E$6:$FY$203,49,FALSE)</f>
        <v>#N/A</v>
      </c>
      <c r="BB2" s="398" t="e">
        <f>VLOOKUP($A$1, $E$6:$FY$203,50,FALSE)</f>
        <v>#N/A</v>
      </c>
      <c r="BC2" s="398" t="e">
        <f>VLOOKUP($A$1, $E$6:$FY$203,51,FALSE)</f>
        <v>#N/A</v>
      </c>
      <c r="BD2" s="398" t="e">
        <f>VLOOKUP($A$1, $E$6:$FY$203,52,FALSE)</f>
        <v>#N/A</v>
      </c>
      <c r="BE2" s="398" t="e">
        <f>VLOOKUP($A$1, $E$6:$FY$203,53,FALSE)</f>
        <v>#N/A</v>
      </c>
      <c r="BF2" s="398" t="e">
        <f>VLOOKUP($A$1, $E$6:$FY$203,54,FALSE)</f>
        <v>#N/A</v>
      </c>
      <c r="BG2" s="398" t="e">
        <f>VLOOKUP($A$1, $E$6:$FY$203,55,FALSE)</f>
        <v>#N/A</v>
      </c>
      <c r="BH2" s="398" t="e">
        <f>VLOOKUP($A$1, $E$6:$FY$203,56,FALSE)</f>
        <v>#N/A</v>
      </c>
      <c r="BI2" s="398" t="e">
        <f>VLOOKUP($A$1, $E$6:$FY$203,57,FALSE)</f>
        <v>#N/A</v>
      </c>
      <c r="BJ2" s="398" t="e">
        <f>VLOOKUP($A$1, $E$6:$FY$203,58,FALSE)</f>
        <v>#N/A</v>
      </c>
      <c r="BK2" s="398" t="e">
        <f>VLOOKUP($A$1, $E$6:$FY$203,59,FALSE)</f>
        <v>#N/A</v>
      </c>
      <c r="BL2" s="398" t="e">
        <f>VLOOKUP($A$1, $E$6:$FY$203,60,FALSE)</f>
        <v>#N/A</v>
      </c>
      <c r="BM2" s="398" t="e">
        <f>VLOOKUP($A$1, $E$6:$FY$203,61,FALSE)</f>
        <v>#N/A</v>
      </c>
      <c r="BN2" s="398" t="e">
        <f>VLOOKUP($A$1, $E$6:$FY$203,62,FALSE)</f>
        <v>#N/A</v>
      </c>
      <c r="BO2" s="398" t="e">
        <f>VLOOKUP($A$1, $E$6:$FY$203,63,FALSE)</f>
        <v>#N/A</v>
      </c>
      <c r="BP2" s="398" t="e">
        <f>VLOOKUP($A$1, $E$6:$FY$203,64,FALSE)</f>
        <v>#N/A</v>
      </c>
      <c r="BQ2" s="398" t="e">
        <f>VLOOKUP($A$1, $E$6:$FY$203,65,FALSE)</f>
        <v>#N/A</v>
      </c>
      <c r="BR2" s="398" t="e">
        <f>VLOOKUP($A$1, $E$6:$FY$203,66,FALSE)</f>
        <v>#N/A</v>
      </c>
      <c r="BS2" s="398" t="e">
        <f>VLOOKUP($A$1, $E$6:$FY$203,67,FALSE)</f>
        <v>#N/A</v>
      </c>
      <c r="BT2" s="398" t="e">
        <f>VLOOKUP($A$1, $E$6:$FY$203,68,FALSE)</f>
        <v>#N/A</v>
      </c>
      <c r="BU2" s="398" t="e">
        <f>VLOOKUP($A$1, $E$6:$FY$203,69,FALSE)</f>
        <v>#N/A</v>
      </c>
      <c r="BV2" s="398" t="e">
        <f>VLOOKUP($A$1, $E$6:$FY$203,70,FALSE)</f>
        <v>#N/A</v>
      </c>
      <c r="BW2" s="398" t="e">
        <f>VLOOKUP($A$1, $E$6:$FY$203,71,FALSE)</f>
        <v>#N/A</v>
      </c>
      <c r="BX2" s="398" t="e">
        <f>VLOOKUP($A$1, $E$6:$FY$203,72,FALSE)</f>
        <v>#N/A</v>
      </c>
      <c r="BY2" s="398" t="e">
        <f>VLOOKUP($A$1, $E$6:$FY$203,73,FALSE)</f>
        <v>#N/A</v>
      </c>
      <c r="BZ2" s="398" t="e">
        <f>VLOOKUP($A$1, $E$6:$FY$203,74,FALSE)</f>
        <v>#N/A</v>
      </c>
      <c r="CA2" s="398" t="e">
        <f>VLOOKUP($A$1, $E$6:$FY$203,75,FALSE)</f>
        <v>#N/A</v>
      </c>
      <c r="CB2" s="398" t="e">
        <f>VLOOKUP($A$1, $E$6:$FY$203,76,FALSE)</f>
        <v>#N/A</v>
      </c>
      <c r="CC2" s="398" t="e">
        <f>VLOOKUP($A$1, $E$6:$FY$203,77,FALSE)</f>
        <v>#N/A</v>
      </c>
      <c r="CD2" s="398" t="e">
        <f>VLOOKUP($A$1, $E$6:$FY$203,78,FALSE)</f>
        <v>#N/A</v>
      </c>
      <c r="CE2" s="398" t="e">
        <f>VLOOKUP($A$1, $E$6:$FY$203,79,FALSE)</f>
        <v>#N/A</v>
      </c>
      <c r="CF2" s="398" t="e">
        <f>VLOOKUP($A$1, $E$6:$FY$203,80,FALSE)</f>
        <v>#N/A</v>
      </c>
      <c r="CG2" s="398" t="e">
        <f>VLOOKUP($A$1, $E$6:$FY$203,81,FALSE)</f>
        <v>#N/A</v>
      </c>
      <c r="CH2" s="398" t="e">
        <f>VLOOKUP($A$1, $E$6:$FY$203,82,FALSE)</f>
        <v>#N/A</v>
      </c>
      <c r="CI2" s="398" t="e">
        <f>VLOOKUP($A$1, $E$6:$FY$203,83,FALSE)</f>
        <v>#N/A</v>
      </c>
      <c r="CJ2" s="398" t="e">
        <f>VLOOKUP($A$1, $E$6:$FY$203,84,FALSE)</f>
        <v>#N/A</v>
      </c>
      <c r="CK2" s="398" t="e">
        <f>VLOOKUP($A$1, $E$6:$FY$203,85,FALSE)</f>
        <v>#N/A</v>
      </c>
      <c r="CL2" s="398" t="e">
        <f>VLOOKUP($A$1, $E$6:$FY$203,86,FALSE)</f>
        <v>#N/A</v>
      </c>
      <c r="CM2" s="398" t="e">
        <f>VLOOKUP($A$1, $E$6:$FY$203,87,FALSE)</f>
        <v>#N/A</v>
      </c>
      <c r="CN2" s="398" t="e">
        <f>VLOOKUP($A$1, $E$6:$FY$203,88,FALSE)</f>
        <v>#N/A</v>
      </c>
      <c r="CO2" s="398" t="e">
        <f>VLOOKUP($A$1, $E$6:$FY$203,89,FALSE)</f>
        <v>#N/A</v>
      </c>
      <c r="CP2" s="398" t="e">
        <f>VLOOKUP($A$1, $E$6:$FY$203,90,FALSE)</f>
        <v>#N/A</v>
      </c>
      <c r="CQ2" s="398" t="e">
        <f>VLOOKUP($A$1, $E$6:$FY$203,91,FALSE)</f>
        <v>#N/A</v>
      </c>
      <c r="CR2" s="398" t="e">
        <f>VLOOKUP($A$1, $E$6:$FY$203,92,FALSE)</f>
        <v>#N/A</v>
      </c>
      <c r="CS2" s="398" t="e">
        <f>VLOOKUP($A$1, $E$6:$FY$203,93,FALSE)</f>
        <v>#N/A</v>
      </c>
      <c r="CT2" s="398" t="e">
        <f>VLOOKUP($A$1, $E$6:$FY$203,94,FALSE)</f>
        <v>#N/A</v>
      </c>
      <c r="CU2" s="398" t="e">
        <f>VLOOKUP($A$1, $E$6:$FY$203,95,FALSE)</f>
        <v>#N/A</v>
      </c>
      <c r="CV2" s="398" t="e">
        <f>VLOOKUP($A$1, $E$6:$FY$203,96,FALSE)</f>
        <v>#N/A</v>
      </c>
      <c r="CW2" s="398" t="e">
        <f>VLOOKUP($A$1, $E$6:$FY$203,97,FALSE)</f>
        <v>#N/A</v>
      </c>
      <c r="CX2" s="398" t="e">
        <f>VLOOKUP($A$1, $E$6:$FY$203,98,FALSE)</f>
        <v>#N/A</v>
      </c>
      <c r="CY2" s="398" t="e">
        <f>VLOOKUP($A$1, $E$6:$FY$203,99,FALSE)</f>
        <v>#N/A</v>
      </c>
      <c r="CZ2" s="398" t="e">
        <f>VLOOKUP($A$1, $E$6:$FY$203,100,FALSE)</f>
        <v>#N/A</v>
      </c>
      <c r="DA2" s="398" t="e">
        <f>VLOOKUP($A$1, $E$6:$FY$203,101,FALSE)</f>
        <v>#N/A</v>
      </c>
      <c r="DB2" s="398" t="e">
        <f>VLOOKUP($A$1, $E$6:$FY$203,102,FALSE)</f>
        <v>#N/A</v>
      </c>
      <c r="DC2" s="398" t="e">
        <f>VLOOKUP($A$1, $E$6:$FY$203,103,FALSE)</f>
        <v>#N/A</v>
      </c>
      <c r="DD2" s="398" t="e">
        <f>VLOOKUP($A$1, $E$6:$FY$203,104,FALSE)</f>
        <v>#N/A</v>
      </c>
      <c r="DE2" s="398" t="e">
        <f>VLOOKUP($A$1, $E$6:$FY$203,105,FALSE)</f>
        <v>#N/A</v>
      </c>
      <c r="DF2" s="398" t="e">
        <f>VLOOKUP($A$1, $E$6:$FY$203,106,FALSE)</f>
        <v>#N/A</v>
      </c>
      <c r="DG2" s="398" t="e">
        <f>VLOOKUP($A$1, $E$6:$FY$203,107,FALSE)</f>
        <v>#N/A</v>
      </c>
      <c r="DH2" s="398" t="e">
        <f>VLOOKUP($A$1, $E$6:$FY$203,108,FALSE)</f>
        <v>#N/A</v>
      </c>
      <c r="DI2" s="398" t="e">
        <f>VLOOKUP($A$1, $E$6:$FY$203,109,FALSE)</f>
        <v>#N/A</v>
      </c>
      <c r="DJ2" s="398" t="e">
        <f>VLOOKUP($A$1, $E$6:$FY$203,110,FALSE)</f>
        <v>#N/A</v>
      </c>
      <c r="DK2" s="398" t="e">
        <f>VLOOKUP($A$1, $E$6:$FY$203,111,FALSE)</f>
        <v>#N/A</v>
      </c>
      <c r="DL2" s="398" t="e">
        <f>VLOOKUP($A$1, $E$6:$FY$203,112,FALSE)</f>
        <v>#N/A</v>
      </c>
      <c r="DM2" s="398" t="e">
        <f>VLOOKUP($A$1, $E$6:$FY$203,113,FALSE)</f>
        <v>#N/A</v>
      </c>
      <c r="DN2" s="398" t="e">
        <f>VLOOKUP($A$1, $E$6:$FY$203,114,FALSE)</f>
        <v>#N/A</v>
      </c>
      <c r="DO2" s="398" t="e">
        <f>VLOOKUP($A$1, $E$6:$FY$203,115,FALSE)</f>
        <v>#N/A</v>
      </c>
      <c r="DP2" s="398" t="e">
        <f>VLOOKUP($A$1, $E$6:$FY$203,116,FALSE)</f>
        <v>#N/A</v>
      </c>
      <c r="DQ2" s="398" t="e">
        <f>VLOOKUP($A$1, $E$6:$FY$203,117,FALSE)</f>
        <v>#N/A</v>
      </c>
      <c r="DR2" s="398" t="e">
        <f>VLOOKUP($A$1, $E$6:$FY$203,118,FALSE)</f>
        <v>#N/A</v>
      </c>
      <c r="DS2" s="398" t="e">
        <f>VLOOKUP($A$1, $E$6:$FY$203,119,FALSE)</f>
        <v>#N/A</v>
      </c>
      <c r="DT2" s="398" t="e">
        <f>VLOOKUP($A$1, $E$6:$FY$203,120,FALSE)</f>
        <v>#N/A</v>
      </c>
      <c r="DU2" s="398" t="e">
        <f>VLOOKUP($A$1, $E$6:$FY$203,121,FALSE)</f>
        <v>#N/A</v>
      </c>
      <c r="DV2" s="398" t="e">
        <f>VLOOKUP($A$1, $E$6:$FY$203,122,FALSE)</f>
        <v>#N/A</v>
      </c>
      <c r="DW2" s="398" t="e">
        <f>VLOOKUP($A$1, $E$6:$FY$203,123,FALSE)</f>
        <v>#N/A</v>
      </c>
      <c r="DX2" s="398" t="e">
        <f>VLOOKUP($A$1, $E$6:$FY$203,124,FALSE)</f>
        <v>#N/A</v>
      </c>
      <c r="DY2" s="398" t="e">
        <f>VLOOKUP($A$1, $E$6:$FY$203,125,FALSE)</f>
        <v>#N/A</v>
      </c>
      <c r="DZ2" s="398" t="e">
        <f>VLOOKUP($A$1, $E$6:$FY$203,126,FALSE)</f>
        <v>#N/A</v>
      </c>
      <c r="EA2" s="398" t="e">
        <f>VLOOKUP($A$1, $E$6:$FY$203,127,FALSE)</f>
        <v>#N/A</v>
      </c>
      <c r="EB2" s="398" t="e">
        <f>VLOOKUP($A$1, $E$6:$FY$203,128,FALSE)</f>
        <v>#N/A</v>
      </c>
      <c r="EC2" s="398" t="e">
        <f>VLOOKUP($A$1, $E$6:$FY$203,129,FALSE)</f>
        <v>#N/A</v>
      </c>
      <c r="ED2" s="398" t="e">
        <f>VLOOKUP($A$1, $E$6:$FY$203,130,FALSE)</f>
        <v>#N/A</v>
      </c>
      <c r="EE2" s="398" t="e">
        <f>VLOOKUP($A$1, $E$6:$FY$203,131,FALSE)</f>
        <v>#N/A</v>
      </c>
      <c r="EF2" s="398" t="e">
        <f>VLOOKUP($A$1, $E$6:$FY$203,132,FALSE)</f>
        <v>#N/A</v>
      </c>
      <c r="EG2" s="398" t="e">
        <f>VLOOKUP($A$1, $E$6:$FY$203,133,FALSE)</f>
        <v>#N/A</v>
      </c>
      <c r="EH2" s="398" t="e">
        <f>VLOOKUP($A$1, $E$6:$FY$203,134,FALSE)</f>
        <v>#N/A</v>
      </c>
      <c r="EI2" s="398" t="e">
        <f>VLOOKUP($A$1, $E$6:$FY$203,135,FALSE)</f>
        <v>#N/A</v>
      </c>
      <c r="EJ2" s="398" t="e">
        <f>VLOOKUP($A$1, $E$6:$FY$203,136,FALSE)</f>
        <v>#N/A</v>
      </c>
      <c r="EK2" s="398" t="e">
        <f>VLOOKUP($A$1, $E$6:$FY$203,137,FALSE)</f>
        <v>#N/A</v>
      </c>
      <c r="EL2" s="398" t="e">
        <f>VLOOKUP($A$1, $E$6:$FY$203,138,FALSE)</f>
        <v>#N/A</v>
      </c>
      <c r="EM2" s="398" t="e">
        <f>VLOOKUP($A$1, $E$6:$FY$203,139,FALSE)</f>
        <v>#N/A</v>
      </c>
      <c r="EN2" s="398" t="e">
        <f>VLOOKUP($A$1, $E$6:$FY$203,140,FALSE)</f>
        <v>#N/A</v>
      </c>
      <c r="EO2" s="398" t="e">
        <f>VLOOKUP($A$1, $E$6:$FY$203,141,FALSE)</f>
        <v>#N/A</v>
      </c>
      <c r="EP2" s="398" t="e">
        <f>VLOOKUP($A$1, $E$6:$FY$203,142,FALSE)</f>
        <v>#N/A</v>
      </c>
      <c r="EQ2" s="398" t="e">
        <f>VLOOKUP($A$1, $E$6:$FY$203,143,FALSE)</f>
        <v>#N/A</v>
      </c>
      <c r="ER2" s="398" t="e">
        <f>VLOOKUP($A$1, $E$6:$FY$203,144,FALSE)</f>
        <v>#N/A</v>
      </c>
      <c r="ES2" s="398" t="e">
        <f>VLOOKUP($A$1, $E$6:$FY$203,145,FALSE)</f>
        <v>#N/A</v>
      </c>
      <c r="ET2" s="398" t="e">
        <f>VLOOKUP($A$1, $E$6:$FY$203,146,FALSE)</f>
        <v>#N/A</v>
      </c>
      <c r="EU2" s="398" t="e">
        <f>VLOOKUP($A$1, $E$6:$FY$203,147,FALSE)</f>
        <v>#N/A</v>
      </c>
      <c r="EV2" s="398" t="e">
        <f>VLOOKUP($A$1, $E$6:$FY$203,148,FALSE)</f>
        <v>#N/A</v>
      </c>
      <c r="EW2" s="398" t="e">
        <f>VLOOKUP($A$1, $E$6:$FY$203,149,FALSE)</f>
        <v>#N/A</v>
      </c>
      <c r="EX2" s="398" t="e">
        <f>VLOOKUP($A$1, $E$6:$FY$203,150,FALSE)</f>
        <v>#N/A</v>
      </c>
      <c r="EY2" s="398" t="e">
        <f>VLOOKUP($A$1, $E$6:$FY$203,151,FALSE)</f>
        <v>#N/A</v>
      </c>
      <c r="EZ2" s="398" t="e">
        <f>VLOOKUP($A$1, $E$6:$FY$203,152,FALSE)</f>
        <v>#N/A</v>
      </c>
      <c r="FA2" s="398" t="e">
        <f>VLOOKUP($A$1, $E$6:$FY$203,153,FALSE)</f>
        <v>#N/A</v>
      </c>
      <c r="FB2" s="398" t="e">
        <f>VLOOKUP($A$1, $E$6:$FY$203,154,FALSE)</f>
        <v>#N/A</v>
      </c>
      <c r="FC2" s="399" t="e">
        <f>VLOOKUP($A$1, $E$6:$FU$203,155,FALSE)</f>
        <v>#N/A</v>
      </c>
      <c r="FD2" s="399" t="e">
        <f>VLOOKUP($A$1, $E$6:$FU$203,156,FALSE)</f>
        <v>#N/A</v>
      </c>
      <c r="FE2" s="399" t="e">
        <f>VLOOKUP($A$1, $E$6:$FU$203,157,FALSE)</f>
        <v>#N/A</v>
      </c>
      <c r="FF2" s="399" t="e">
        <f>VLOOKUP($A$1, $E$6:$FU$203,158,FALSE)</f>
        <v>#N/A</v>
      </c>
      <c r="FG2" s="399" t="e">
        <f>VLOOKUP($A$1, $E$6:$FU$203,159,FALSE)</f>
        <v>#N/A</v>
      </c>
      <c r="FH2" s="399" t="e">
        <f>VLOOKUP($A$1, $E$6:$FU$203,160,FALSE)</f>
        <v>#N/A</v>
      </c>
      <c r="FI2" s="399" t="e">
        <f>VLOOKUP($A$1, $E$6:$FU$203,161,FALSE)</f>
        <v>#N/A</v>
      </c>
      <c r="FJ2" s="399" t="e">
        <f>VLOOKUP($A$1, $E$6:$FU$203,162,FALSE)</f>
        <v>#N/A</v>
      </c>
      <c r="FK2" s="408" t="e">
        <f>VLOOKUP($A$1, $E$6:$FU$203,163,FALSE)</f>
        <v>#N/A</v>
      </c>
      <c r="FL2" s="399" t="e">
        <f>VLOOKUP($A$1, $E$6:$FU$203,164,FALSE)</f>
        <v>#N/A</v>
      </c>
      <c r="FM2" s="400"/>
      <c r="FN2" s="396" t="e">
        <f>VLOOKUP($A$1, $E$6:$FU$203,166,FALSE)</f>
        <v>#N/A</v>
      </c>
      <c r="FO2" s="396" t="e">
        <f>VLOOKUP($A$1, $E$6:$FU$203,167,FALSE)</f>
        <v>#N/A</v>
      </c>
      <c r="FP2" s="395"/>
    </row>
    <row r="3" spans="1:179" s="248" customFormat="1" ht="16" x14ac:dyDescent="0.2">
      <c r="A3" s="246"/>
      <c r="B3" s="246"/>
      <c r="C3" s="246"/>
      <c r="D3" s="246"/>
      <c r="E3" s="247"/>
      <c r="F3" s="246"/>
      <c r="G3" s="246"/>
      <c r="H3" s="246"/>
      <c r="I3" s="246"/>
      <c r="J3" s="246"/>
      <c r="K3" s="246"/>
      <c r="L3" s="247"/>
      <c r="M3" s="247"/>
      <c r="N3" s="153"/>
      <c r="O3" s="246"/>
      <c r="P3" s="246"/>
      <c r="T3" s="246"/>
      <c r="U3" s="246"/>
      <c r="V3" s="246"/>
      <c r="W3" s="246"/>
      <c r="X3" s="246"/>
      <c r="Y3" s="246"/>
      <c r="Z3" s="594" t="s">
        <v>311</v>
      </c>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5" t="s">
        <v>312</v>
      </c>
      <c r="BB3" s="595"/>
      <c r="BC3" s="595"/>
      <c r="BD3" s="595"/>
      <c r="BE3" s="595"/>
      <c r="BF3" s="595"/>
      <c r="BG3" s="595"/>
      <c r="BH3" s="595"/>
      <c r="BI3" s="595"/>
      <c r="BJ3" s="595"/>
      <c r="BK3" s="595"/>
      <c r="BL3" s="595"/>
      <c r="BM3" s="595"/>
      <c r="BN3" s="595"/>
      <c r="BO3" s="595"/>
      <c r="BP3" s="595"/>
      <c r="BQ3" s="595"/>
      <c r="BR3" s="595"/>
      <c r="BS3" s="595"/>
      <c r="BT3" s="595"/>
      <c r="BU3" s="595"/>
      <c r="BV3" s="595"/>
      <c r="BW3" s="595"/>
      <c r="BX3" s="596" t="s">
        <v>313</v>
      </c>
      <c r="BY3" s="596"/>
      <c r="BZ3" s="596"/>
      <c r="CA3" s="596"/>
      <c r="CB3" s="596"/>
      <c r="CC3" s="596"/>
      <c r="CD3" s="596"/>
      <c r="CE3" s="596"/>
      <c r="CF3" s="596"/>
      <c r="CG3" s="596"/>
      <c r="CH3" s="597" t="s">
        <v>314</v>
      </c>
      <c r="CI3" s="597"/>
      <c r="CJ3" s="597"/>
      <c r="CK3" s="597"/>
      <c r="CL3" s="597"/>
      <c r="CM3" s="597"/>
      <c r="CN3" s="597"/>
      <c r="CO3" s="597"/>
      <c r="CP3" s="597"/>
      <c r="CQ3" s="597"/>
      <c r="CR3" s="597"/>
      <c r="CS3" s="597"/>
      <c r="CT3" s="597"/>
      <c r="CU3" s="597"/>
      <c r="CV3" s="597"/>
      <c r="CW3" s="598" t="s">
        <v>345</v>
      </c>
      <c r="CX3" s="598"/>
      <c r="CY3" s="598"/>
      <c r="CZ3" s="598"/>
      <c r="DA3" s="593" t="s">
        <v>344</v>
      </c>
      <c r="DB3" s="593"/>
      <c r="DC3" s="593"/>
      <c r="DE3" s="248" t="s">
        <v>1326</v>
      </c>
      <c r="DQ3" s="249"/>
      <c r="DZ3" s="250"/>
      <c r="EA3" s="250"/>
      <c r="EB3" s="250"/>
      <c r="EC3" s="250"/>
      <c r="FN3" s="247"/>
      <c r="FO3" s="247"/>
      <c r="FP3" s="247"/>
    </row>
    <row r="4" spans="1:179" s="248" customFormat="1" ht="16" x14ac:dyDescent="0.2">
      <c r="A4" s="246"/>
      <c r="B4" s="246"/>
      <c r="C4" s="246"/>
      <c r="D4" s="246"/>
      <c r="E4" s="247"/>
      <c r="F4" s="246"/>
      <c r="G4" s="246"/>
      <c r="H4" s="246"/>
      <c r="I4" s="246"/>
      <c r="J4" s="246"/>
      <c r="K4" s="246"/>
      <c r="L4" s="247"/>
      <c r="M4" s="247"/>
      <c r="N4" s="153"/>
      <c r="O4" s="246"/>
      <c r="P4" s="246"/>
      <c r="T4" s="246"/>
      <c r="U4" s="246"/>
      <c r="V4" s="246"/>
      <c r="W4" s="246"/>
      <c r="X4" s="246"/>
      <c r="Y4" s="246"/>
      <c r="Z4" s="251"/>
      <c r="AA4" s="585" t="s">
        <v>326</v>
      </c>
      <c r="AB4" s="585"/>
      <c r="AC4" s="585"/>
      <c r="AD4" s="585"/>
      <c r="AE4" s="585"/>
      <c r="AF4" s="585"/>
      <c r="AG4" s="585"/>
      <c r="AH4" s="252"/>
      <c r="AI4" s="586" t="s">
        <v>327</v>
      </c>
      <c r="AJ4" s="586"/>
      <c r="AK4" s="586"/>
      <c r="AL4" s="586"/>
      <c r="AM4" s="586"/>
      <c r="AN4" s="586"/>
      <c r="AO4" s="409"/>
      <c r="AP4" s="587" t="s">
        <v>328</v>
      </c>
      <c r="AQ4" s="587"/>
      <c r="AR4" s="587"/>
      <c r="AS4" s="587"/>
      <c r="AT4" s="587"/>
      <c r="AU4" s="587"/>
      <c r="AV4" s="588"/>
      <c r="AW4" s="587"/>
      <c r="AX4" s="587"/>
      <c r="AY4" s="587"/>
      <c r="AZ4" s="587"/>
      <c r="BA4" s="589" t="s">
        <v>329</v>
      </c>
      <c r="BB4" s="589"/>
      <c r="BC4" s="589"/>
      <c r="BD4" s="589"/>
      <c r="BE4" s="589"/>
      <c r="BF4" s="589"/>
      <c r="BG4" s="403"/>
      <c r="BH4" s="403"/>
      <c r="BI4" s="590" t="s">
        <v>330</v>
      </c>
      <c r="BJ4" s="590"/>
      <c r="BK4" s="590"/>
      <c r="BL4" s="590"/>
      <c r="BM4" s="590"/>
      <c r="BN4" s="590"/>
      <c r="BO4" s="590"/>
      <c r="BP4" s="590"/>
      <c r="BQ4" s="590"/>
      <c r="BR4" s="590"/>
      <c r="BS4" s="590"/>
      <c r="BT4" s="591"/>
      <c r="BU4" s="590"/>
      <c r="BV4" s="590"/>
      <c r="BW4" s="590"/>
      <c r="BX4" s="592" t="s">
        <v>331</v>
      </c>
      <c r="BY4" s="592"/>
      <c r="BZ4" s="592"/>
      <c r="CA4" s="592"/>
      <c r="CB4" s="592"/>
      <c r="CC4" s="410"/>
      <c r="CD4" s="581" t="s">
        <v>336</v>
      </c>
      <c r="CE4" s="581"/>
      <c r="CF4" s="581"/>
      <c r="CG4" s="581"/>
      <c r="CH4" s="582" t="s">
        <v>341</v>
      </c>
      <c r="CI4" s="582"/>
      <c r="CJ4" s="582"/>
      <c r="CK4" s="583" t="s">
        <v>342</v>
      </c>
      <c r="CL4" s="583"/>
      <c r="CM4" s="583"/>
      <c r="CN4" s="583"/>
      <c r="CO4" s="583"/>
      <c r="CP4" s="583" t="s">
        <v>343</v>
      </c>
      <c r="CQ4" s="584"/>
      <c r="CR4" s="583"/>
      <c r="CS4" s="583"/>
      <c r="CT4" s="583"/>
      <c r="CU4" s="583"/>
      <c r="CV4" s="583"/>
      <c r="CW4" s="411"/>
      <c r="CX4" s="412"/>
      <c r="CY4" s="412"/>
      <c r="CZ4" s="412"/>
      <c r="DA4" s="253"/>
      <c r="DB4" s="254"/>
      <c r="DC4" s="255"/>
      <c r="DQ4" s="249"/>
      <c r="DZ4" s="250"/>
      <c r="EA4" s="250"/>
      <c r="EB4" s="250"/>
      <c r="EC4" s="250"/>
      <c r="FN4" s="247"/>
      <c r="FO4" s="247"/>
      <c r="FP4" s="247"/>
    </row>
    <row r="5" spans="1:179" s="121" customFormat="1" ht="82" customHeight="1" x14ac:dyDescent="0.2">
      <c r="A5" s="114" t="s">
        <v>0</v>
      </c>
      <c r="B5" s="115" t="s">
        <v>1</v>
      </c>
      <c r="C5" s="115" t="s">
        <v>1019</v>
      </c>
      <c r="D5" s="115" t="s">
        <v>977</v>
      </c>
      <c r="E5" s="126" t="s">
        <v>2</v>
      </c>
      <c r="F5" s="110" t="s">
        <v>636</v>
      </c>
      <c r="G5" s="110" t="s">
        <v>3</v>
      </c>
      <c r="H5" s="142" t="s">
        <v>659</v>
      </c>
      <c r="I5" s="142" t="s">
        <v>658</v>
      </c>
      <c r="J5" s="142" t="s">
        <v>660</v>
      </c>
      <c r="K5" s="276" t="s">
        <v>661</v>
      </c>
      <c r="L5" s="277" t="s">
        <v>682</v>
      </c>
      <c r="M5" s="143" t="s">
        <v>678</v>
      </c>
      <c r="N5" s="111" t="s">
        <v>827</v>
      </c>
      <c r="O5" s="143" t="s">
        <v>641</v>
      </c>
      <c r="P5" s="143" t="s">
        <v>1066</v>
      </c>
      <c r="Q5" s="112" t="s">
        <v>374</v>
      </c>
      <c r="R5" s="112" t="s">
        <v>528</v>
      </c>
      <c r="S5" s="112" t="s">
        <v>375</v>
      </c>
      <c r="T5" s="143" t="s">
        <v>1128</v>
      </c>
      <c r="U5" s="143" t="s">
        <v>1127</v>
      </c>
      <c r="V5" s="143" t="s">
        <v>1075</v>
      </c>
      <c r="W5" s="224" t="s">
        <v>1365</v>
      </c>
      <c r="X5" s="143" t="s">
        <v>1076</v>
      </c>
      <c r="Y5" s="273"/>
      <c r="Z5" s="413" t="s">
        <v>219</v>
      </c>
      <c r="AA5" s="414" t="s">
        <v>272</v>
      </c>
      <c r="AB5" s="414" t="s">
        <v>273</v>
      </c>
      <c r="AC5" s="414" t="s">
        <v>274</v>
      </c>
      <c r="AD5" s="414" t="s">
        <v>275</v>
      </c>
      <c r="AE5" s="414" t="s">
        <v>276</v>
      </c>
      <c r="AF5" s="414" t="s">
        <v>277</v>
      </c>
      <c r="AG5" s="414" t="s">
        <v>278</v>
      </c>
      <c r="AH5" s="414" t="s">
        <v>220</v>
      </c>
      <c r="AI5" s="414" t="s">
        <v>279</v>
      </c>
      <c r="AJ5" s="414" t="s">
        <v>280</v>
      </c>
      <c r="AK5" s="414" t="s">
        <v>281</v>
      </c>
      <c r="AL5" s="414" t="s">
        <v>282</v>
      </c>
      <c r="AM5" s="414" t="s">
        <v>283</v>
      </c>
      <c r="AN5" s="414" t="s">
        <v>284</v>
      </c>
      <c r="AO5" s="415" t="s">
        <v>642</v>
      </c>
      <c r="AP5" s="415" t="s">
        <v>285</v>
      </c>
      <c r="AQ5" s="415" t="s">
        <v>286</v>
      </c>
      <c r="AR5" s="415" t="s">
        <v>287</v>
      </c>
      <c r="AS5" s="415" t="s">
        <v>288</v>
      </c>
      <c r="AT5" s="415" t="s">
        <v>290</v>
      </c>
      <c r="AU5" s="415" t="s">
        <v>289</v>
      </c>
      <c r="AV5" s="415" t="s">
        <v>643</v>
      </c>
      <c r="AW5" s="415" t="s">
        <v>291</v>
      </c>
      <c r="AX5" s="415" t="s">
        <v>292</v>
      </c>
      <c r="AY5" s="415" t="s">
        <v>293</v>
      </c>
      <c r="AZ5" s="415" t="s">
        <v>294</v>
      </c>
      <c r="BA5" s="116" t="s">
        <v>217</v>
      </c>
      <c r="BB5" s="116" t="s">
        <v>1297</v>
      </c>
      <c r="BC5" s="116" t="s">
        <v>239</v>
      </c>
      <c r="BD5" s="416" t="s">
        <v>238</v>
      </c>
      <c r="BE5" s="416" t="s">
        <v>237</v>
      </c>
      <c r="BF5" s="416" t="s">
        <v>322</v>
      </c>
      <c r="BG5" s="416" t="s">
        <v>346</v>
      </c>
      <c r="BH5" s="416" t="s">
        <v>359</v>
      </c>
      <c r="BI5" s="117" t="s">
        <v>247</v>
      </c>
      <c r="BJ5" s="117" t="s">
        <v>1078</v>
      </c>
      <c r="BK5" s="117" t="s">
        <v>1126</v>
      </c>
      <c r="BL5" s="417" t="s">
        <v>258</v>
      </c>
      <c r="BM5" s="417" t="s">
        <v>1255</v>
      </c>
      <c r="BN5" s="417" t="s">
        <v>295</v>
      </c>
      <c r="BO5" s="417" t="s">
        <v>296</v>
      </c>
      <c r="BP5" s="417" t="s">
        <v>259</v>
      </c>
      <c r="BQ5" s="417" t="s">
        <v>761</v>
      </c>
      <c r="BR5" s="417" t="s">
        <v>347</v>
      </c>
      <c r="BS5" s="417" t="s">
        <v>348</v>
      </c>
      <c r="BT5" s="417" t="s">
        <v>300</v>
      </c>
      <c r="BU5" s="417" t="s">
        <v>298</v>
      </c>
      <c r="BV5" s="417" t="s">
        <v>299</v>
      </c>
      <c r="BW5" s="417" t="s">
        <v>297</v>
      </c>
      <c r="BX5" s="418" t="s">
        <v>241</v>
      </c>
      <c r="BY5" s="418" t="s">
        <v>332</v>
      </c>
      <c r="BZ5" s="418" t="s">
        <v>333</v>
      </c>
      <c r="CA5" s="418" t="s">
        <v>334</v>
      </c>
      <c r="CB5" s="418" t="s">
        <v>335</v>
      </c>
      <c r="CC5" s="419" t="s">
        <v>262</v>
      </c>
      <c r="CD5" s="419" t="s">
        <v>337</v>
      </c>
      <c r="CE5" s="419" t="s">
        <v>338</v>
      </c>
      <c r="CF5" s="419" t="s">
        <v>339</v>
      </c>
      <c r="CG5" s="419" t="s">
        <v>340</v>
      </c>
      <c r="CH5" s="420" t="s">
        <v>266</v>
      </c>
      <c r="CI5" s="118" t="s">
        <v>265</v>
      </c>
      <c r="CJ5" s="118" t="s">
        <v>264</v>
      </c>
      <c r="CK5" s="420" t="s">
        <v>319</v>
      </c>
      <c r="CL5" s="420" t="s">
        <v>301</v>
      </c>
      <c r="CM5" s="420" t="s">
        <v>302</v>
      </c>
      <c r="CN5" s="420" t="s">
        <v>303</v>
      </c>
      <c r="CO5" s="420" t="s">
        <v>304</v>
      </c>
      <c r="CP5" s="421" t="s">
        <v>267</v>
      </c>
      <c r="CQ5" s="421" t="s">
        <v>316</v>
      </c>
      <c r="CR5" s="421" t="s">
        <v>305</v>
      </c>
      <c r="CS5" s="421" t="s">
        <v>306</v>
      </c>
      <c r="CT5" s="421" t="s">
        <v>307</v>
      </c>
      <c r="CU5" s="421" t="s">
        <v>350</v>
      </c>
      <c r="CV5" s="421" t="s">
        <v>268</v>
      </c>
      <c r="CW5" s="119" t="s">
        <v>644</v>
      </c>
      <c r="CX5" s="119" t="s">
        <v>308</v>
      </c>
      <c r="CY5" s="119" t="s">
        <v>309</v>
      </c>
      <c r="CZ5" s="119" t="s">
        <v>310</v>
      </c>
      <c r="DA5" s="120" t="s">
        <v>269</v>
      </c>
      <c r="DB5" s="120" t="s">
        <v>270</v>
      </c>
      <c r="DC5" s="120" t="s">
        <v>271</v>
      </c>
      <c r="DE5" s="340" t="s">
        <v>377</v>
      </c>
      <c r="DF5" s="224" t="s">
        <v>1322</v>
      </c>
      <c r="DG5" s="224" t="s">
        <v>1323</v>
      </c>
      <c r="DH5" s="340" t="s">
        <v>378</v>
      </c>
      <c r="DI5" s="224" t="s">
        <v>1324</v>
      </c>
      <c r="DJ5" s="224" t="s">
        <v>1325</v>
      </c>
      <c r="DK5" s="224" t="s">
        <v>379</v>
      </c>
      <c r="DL5" s="224" t="s">
        <v>380</v>
      </c>
      <c r="DM5" s="224" t="s">
        <v>381</v>
      </c>
      <c r="DN5" s="224" t="s">
        <v>382</v>
      </c>
      <c r="DO5" s="224" t="s">
        <v>383</v>
      </c>
      <c r="DP5" s="287" t="s">
        <v>1327</v>
      </c>
      <c r="DQ5" s="341" t="s">
        <v>1343</v>
      </c>
      <c r="DR5" s="237" t="s">
        <v>1366</v>
      </c>
      <c r="DS5" s="110" t="s">
        <v>530</v>
      </c>
      <c r="DT5" s="110" t="s">
        <v>741</v>
      </c>
      <c r="DU5" s="110" t="s">
        <v>742</v>
      </c>
      <c r="DV5" s="110" t="s">
        <v>531</v>
      </c>
      <c r="DW5" s="110" t="s">
        <v>533</v>
      </c>
      <c r="DX5" s="110" t="s">
        <v>532</v>
      </c>
      <c r="DY5" s="141" t="s">
        <v>806</v>
      </c>
      <c r="DZ5" s="125" t="s">
        <v>739</v>
      </c>
      <c r="EA5" s="125" t="s">
        <v>740</v>
      </c>
      <c r="EB5" s="125" t="s">
        <v>761</v>
      </c>
      <c r="EC5" s="125" t="s">
        <v>804</v>
      </c>
      <c r="ED5" s="125" t="s">
        <v>766</v>
      </c>
      <c r="EH5" s="264" t="s">
        <v>366</v>
      </c>
      <c r="EI5" s="422" t="s">
        <v>367</v>
      </c>
      <c r="EJ5" s="423" t="s">
        <v>504</v>
      </c>
      <c r="EK5" s="113" t="s">
        <v>368</v>
      </c>
      <c r="EL5" s="113" t="s">
        <v>369</v>
      </c>
      <c r="EM5" s="113" t="s">
        <v>370</v>
      </c>
      <c r="EN5" s="265" t="s">
        <v>371</v>
      </c>
      <c r="EO5" s="265" t="s">
        <v>372</v>
      </c>
      <c r="EP5" s="265" t="s">
        <v>373</v>
      </c>
      <c r="EQ5" s="266" t="s">
        <v>376</v>
      </c>
      <c r="ER5" s="113" t="s">
        <v>522</v>
      </c>
      <c r="ES5" s="113" t="s">
        <v>523</v>
      </c>
      <c r="ET5" s="113" t="s">
        <v>247</v>
      </c>
      <c r="EU5" s="113" t="s">
        <v>524</v>
      </c>
      <c r="EV5" s="113" t="s">
        <v>525</v>
      </c>
      <c r="EZ5" s="392" t="s">
        <v>1369</v>
      </c>
      <c r="FA5" s="392" t="s">
        <v>1370</v>
      </c>
      <c r="FB5" s="392">
        <v>1990</v>
      </c>
      <c r="FC5" s="392">
        <v>2000</v>
      </c>
      <c r="FD5" s="392">
        <v>2005</v>
      </c>
      <c r="FE5" s="392">
        <v>2010</v>
      </c>
      <c r="FF5" s="392">
        <v>2015</v>
      </c>
      <c r="FG5" s="392" t="s">
        <v>1371</v>
      </c>
      <c r="FH5" s="424" t="s">
        <v>1372</v>
      </c>
      <c r="FI5" s="424" t="s">
        <v>1373</v>
      </c>
      <c r="FJ5" s="392" t="s">
        <v>1374</v>
      </c>
      <c r="FK5" s="392"/>
      <c r="FL5" s="121" t="s">
        <v>1397</v>
      </c>
      <c r="FN5" s="126" t="s">
        <v>1777</v>
      </c>
      <c r="FO5" s="126" t="s">
        <v>1778</v>
      </c>
      <c r="FP5" s="126" t="s">
        <v>1344</v>
      </c>
      <c r="FR5" s="401" t="s">
        <v>1782</v>
      </c>
      <c r="FS5" s="401" t="s">
        <v>1779</v>
      </c>
      <c r="FT5" s="401" t="s">
        <v>1780</v>
      </c>
      <c r="FU5" s="401" t="s">
        <v>1781</v>
      </c>
    </row>
    <row r="6" spans="1:179" ht="22" hidden="1" customHeight="1" x14ac:dyDescent="0.2">
      <c r="A6" s="13" t="s">
        <v>4</v>
      </c>
      <c r="B6" s="14" t="s">
        <v>5</v>
      </c>
      <c r="C6" s="14"/>
      <c r="D6" s="14"/>
      <c r="E6" s="128" t="s">
        <v>6</v>
      </c>
      <c r="F6" s="15"/>
      <c r="G6" s="15" t="s">
        <v>635</v>
      </c>
      <c r="H6" s="95">
        <f t="shared" ref="H6:H14" si="0">IF(G6="YES",0,1)</f>
        <v>0</v>
      </c>
      <c r="I6" s="95">
        <f t="shared" ref="I6:I69" si="1">IF(L6=0,0,2)</f>
        <v>0</v>
      </c>
      <c r="J6" s="95"/>
      <c r="K6" s="256">
        <f t="shared" ref="K6:K69" si="2">SUM(H6:J6)</f>
        <v>0</v>
      </c>
      <c r="L6" s="278">
        <v>0</v>
      </c>
      <c r="M6" s="25"/>
      <c r="N6" s="89"/>
      <c r="O6" s="144" t="str">
        <f t="shared" ref="O6:O69" si="3">CONCATENATE(Q6,R6,S6)</f>
        <v>_x000D__x000D_</v>
      </c>
      <c r="P6" s="144"/>
      <c r="Q6" s="64"/>
      <c r="R6" s="64" t="s">
        <v>918</v>
      </c>
      <c r="S6" s="425"/>
      <c r="T6" s="300" t="s">
        <v>881</v>
      </c>
      <c r="U6" s="301" t="s">
        <v>834</v>
      </c>
      <c r="V6" s="301" t="s">
        <v>834</v>
      </c>
      <c r="W6" s="258"/>
      <c r="X6" s="307" t="s">
        <v>834</v>
      </c>
      <c r="Y6" s="274"/>
      <c r="Z6" s="426"/>
      <c r="AA6" s="320">
        <f t="shared" ref="AA6:AA51" si="4">IF(ISNUMBER(SEARCH("1",$Z6)),1,0)</f>
        <v>0</v>
      </c>
      <c r="AB6" s="320">
        <f t="shared" ref="AB6:AB69" si="5">IF(ISNUMBER(SEARCH("1s",$Z6)),1,0)</f>
        <v>0</v>
      </c>
      <c r="AC6" s="320">
        <f t="shared" ref="AC6:AC69" si="6">IF(ISNUMBER(SEARCH("2",$Z6)),1,0)</f>
        <v>0</v>
      </c>
      <c r="AD6" s="320">
        <f t="shared" ref="AD6:AD69" si="7">IF(ISNUMBER(SEARCH("2s",$Z6)),1,0)</f>
        <v>0</v>
      </c>
      <c r="AE6" s="320">
        <f t="shared" ref="AE6:AE69" si="8">IF(ISNUMBER(SEARCH("3",$Z6)),1,0)</f>
        <v>0</v>
      </c>
      <c r="AF6" s="320">
        <f t="shared" ref="AF6:AF69" si="9">IF(ISNUMBER(SEARCH("3s",$Z6)),1,0)</f>
        <v>0</v>
      </c>
      <c r="AG6" s="320">
        <f t="shared" ref="AG6:AG49" si="10">IF(ISNUMBER(SEARCH("s",$Z6)),1,0)</f>
        <v>0</v>
      </c>
      <c r="AH6" s="427"/>
      <c r="AI6" s="320">
        <f t="shared" ref="AI6:AI69" si="11">IF(ISNUMBER(SEARCH("1",$AH6)),1,0)</f>
        <v>0</v>
      </c>
      <c r="AJ6" s="320">
        <f t="shared" ref="AJ6:AJ69" si="12">IF(ISNUMBER(SEARCH("1s",$AH6)),1,0)</f>
        <v>0</v>
      </c>
      <c r="AK6" s="320">
        <f t="shared" ref="AK6:AK69" si="13">IF(ISNUMBER(SEARCH("2",$AH6)),1,0)</f>
        <v>0</v>
      </c>
      <c r="AL6" s="320">
        <f t="shared" ref="AL6:AL69" si="14">IF(ISNUMBER(SEARCH("2s",$AH6)),1,0)</f>
        <v>0</v>
      </c>
      <c r="AM6" s="320">
        <f t="shared" ref="AM6:AM69" si="15">IF(ISNUMBER(SEARCH("3",$AH6)),1,0)</f>
        <v>0</v>
      </c>
      <c r="AN6" s="320">
        <f t="shared" ref="AN6:AN69" si="16">IF(ISNUMBER(SEARCH("3s",$AH6)),1,0)</f>
        <v>0</v>
      </c>
      <c r="AO6" s="427"/>
      <c r="AP6" s="320">
        <f t="shared" ref="AP6:AP69" si="17">IF(ISNUMBER(SEARCH("1",$AO6)),1,0)</f>
        <v>0</v>
      </c>
      <c r="AQ6" s="320">
        <f t="shared" ref="AQ6:AQ69" si="18">IF(ISNUMBER(SEARCH("1s",$AO6)),1,0)</f>
        <v>0</v>
      </c>
      <c r="AR6" s="320">
        <f t="shared" ref="AR6:AR69" si="19">IF(ISNUMBER(SEARCH("2",$AO6)),1,0)</f>
        <v>0</v>
      </c>
      <c r="AS6" s="320">
        <f t="shared" ref="AS6:AS69" si="20">IF(ISNUMBER(SEARCH("2s",$AO6)),1,0)</f>
        <v>0</v>
      </c>
      <c r="AT6" s="320">
        <f t="shared" ref="AT6:AT69" si="21">IF(ISNUMBER(SEARCH("3",$AO6)),1,0)</f>
        <v>0</v>
      </c>
      <c r="AU6" s="320">
        <f t="shared" ref="AU6:AU69" si="22">IF(ISNUMBER(SEARCH("3s",$AO6)),1,0)</f>
        <v>0</v>
      </c>
      <c r="AV6" s="427"/>
      <c r="AW6" s="320">
        <f t="shared" ref="AW6:AW69" si="23">IF(ISNUMBER(SEARCH("1",$AV6)),1,0)</f>
        <v>0</v>
      </c>
      <c r="AX6" s="320">
        <f t="shared" ref="AX6:AX69" si="24">IF(ISNUMBER(SEARCH("2",$AV6)),1,0)</f>
        <v>0</v>
      </c>
      <c r="AY6" s="320">
        <f t="shared" ref="AY6:AY69" si="25">IF(ISNUMBER(SEARCH("3",$AV6)),1,0)</f>
        <v>0</v>
      </c>
      <c r="AZ6" s="320">
        <f t="shared" ref="AZ6:AZ69" si="26">IF(ISNUMBER(SEARCH("4",$AV6)),1,0)</f>
        <v>0</v>
      </c>
      <c r="BA6" s="17">
        <v>1</v>
      </c>
      <c r="BB6" s="17" t="s">
        <v>881</v>
      </c>
      <c r="BC6" s="17"/>
      <c r="BD6" s="17"/>
      <c r="BE6" s="17"/>
      <c r="BF6" s="17"/>
      <c r="BG6" s="428">
        <f>IF(BF6&gt;0,1,0)</f>
        <v>0</v>
      </c>
      <c r="BH6" s="17"/>
      <c r="BI6" s="17"/>
      <c r="BJ6" s="17"/>
      <c r="BK6" s="17"/>
      <c r="BL6" s="17"/>
      <c r="BM6" s="17"/>
      <c r="BN6" s="320">
        <f t="shared" ref="BN6:BN51" si="27">IF(ISNUMBER(SEARCH("1",$BL6)),1,0)</f>
        <v>0</v>
      </c>
      <c r="BO6" s="320">
        <f t="shared" ref="BO6:BO69" si="28">IF(ISNUMBER(SEARCH("t",$BL6)),1,0)</f>
        <v>0</v>
      </c>
      <c r="BP6" s="427"/>
      <c r="BQ6" s="427"/>
      <c r="BR6" s="320">
        <f t="shared" ref="BR6:BS21" si="29">IF(ISNUMBER(SEARCH("1",$BP6)),1,0)</f>
        <v>0</v>
      </c>
      <c r="BS6" s="320">
        <f t="shared" si="29"/>
        <v>0</v>
      </c>
      <c r="BT6" s="427"/>
      <c r="BU6" s="320">
        <f t="shared" ref="BU6:BU69" si="30">IF(ISNUMBER(SEARCH("1",$BT6)),1,0)</f>
        <v>0</v>
      </c>
      <c r="BV6" s="320">
        <f t="shared" ref="BV6:BV69" si="31">IF(ISNUMBER(SEARCH("2",$BT6)),1,0)</f>
        <v>0</v>
      </c>
      <c r="BW6" s="320">
        <f t="shared" ref="BW6:BW69" si="32">IF(ISNUMBER(SEARCH("t",$BT6)),1,0)</f>
        <v>0</v>
      </c>
      <c r="BX6" s="427"/>
      <c r="BY6" s="320">
        <f t="shared" ref="BY6:BY69" si="33">IF(ISNUMBER(SEARCH("1",$BX6)),1,0)</f>
        <v>0</v>
      </c>
      <c r="BZ6" s="320">
        <f t="shared" ref="BZ6:BZ69" si="34">IF(ISNUMBER(SEARCH("2",$BX6)),1,0)</f>
        <v>0</v>
      </c>
      <c r="CA6" s="320">
        <f t="shared" ref="CA6:CA69" si="35">IF(ISNUMBER(SEARCH("3",$BX6)),1,0)</f>
        <v>0</v>
      </c>
      <c r="CB6" s="320">
        <f t="shared" ref="CB6:CB69" si="36">IF(ISNUMBER(SEARCH("s",$BX6)),1,0)</f>
        <v>0</v>
      </c>
      <c r="CC6" s="427"/>
      <c r="CD6" s="320">
        <f t="shared" ref="CD6:CD69" si="37">IF(ISNUMBER(SEARCH("1",$CC6)),1,0)</f>
        <v>0</v>
      </c>
      <c r="CE6" s="320">
        <f t="shared" ref="CE6:CE69" si="38">IF(ISNUMBER(SEARCH("2",$CC6)),1,0)</f>
        <v>0</v>
      </c>
      <c r="CF6" s="320">
        <f t="shared" ref="CF6:CF69" si="39">IF(ISNUMBER(SEARCH("3",$CC6)),1,0)</f>
        <v>0</v>
      </c>
      <c r="CG6" s="320">
        <f t="shared" ref="CG6:CG69" si="40">IF(ISNUMBER(SEARCH("s",$CC6)),1,0)</f>
        <v>0</v>
      </c>
      <c r="CH6" s="427"/>
      <c r="CI6" s="427"/>
      <c r="CJ6" s="427"/>
      <c r="CK6" s="427"/>
      <c r="CL6" s="320">
        <f>IF(ISNUMBER(SEARCH("1",$CK6)),1,0)</f>
        <v>0</v>
      </c>
      <c r="CM6" s="320">
        <f t="shared" ref="CM6:CM69" si="41">IF(ISNUMBER(SEARCH("2",$CK6)),1,0)</f>
        <v>0</v>
      </c>
      <c r="CN6" s="320">
        <f t="shared" ref="CN6:CN69" si="42">IF(ISNUMBER(SEARCH("3",$CK6)),1,0)</f>
        <v>0</v>
      </c>
      <c r="CO6" s="320">
        <f t="shared" ref="CO6:CO69" si="43">IF(ISNUMBER(SEARCH("s",$CK6)),1,0)</f>
        <v>0</v>
      </c>
      <c r="CP6" s="427"/>
      <c r="CQ6" s="427"/>
      <c r="CR6" s="320">
        <f t="shared" ref="CR6:CR69" si="44">IF(ISNUMBER(SEARCH("1",$CQ6)),1,0)</f>
        <v>0</v>
      </c>
      <c r="CS6" s="320">
        <f t="shared" ref="CS6:CS69" si="45">IF(ISNUMBER(SEARCH("1s",$CQ6)),1,0)</f>
        <v>0</v>
      </c>
      <c r="CT6" s="320">
        <f t="shared" ref="CT6:CT27" si="46">IF(ISNUMBER(SEARCH("2",$CQ6)),1,0)</f>
        <v>0</v>
      </c>
      <c r="CU6" s="320">
        <f>IF(ISNUMBER(SEARCH("3",$CQ6)),1,0)</f>
        <v>0</v>
      </c>
      <c r="CV6" s="427"/>
      <c r="CW6" s="17"/>
      <c r="CX6" s="320">
        <f t="shared" ref="CX6:CX69" si="47">IF(ISNUMBER(SEARCH("1",$CW6)),1,0)</f>
        <v>0</v>
      </c>
      <c r="CY6" s="320">
        <f t="shared" ref="CY6:CY69" si="48">IF(ISNUMBER(SEARCH("2",$CW6)),1,0)</f>
        <v>0</v>
      </c>
      <c r="CZ6" s="320">
        <f t="shared" ref="CZ6:CZ69" si="49">IF(ISNUMBER(SEARCH("3",$CW6)),1,0)</f>
        <v>0</v>
      </c>
      <c r="DA6" s="17"/>
      <c r="DB6" s="17"/>
      <c r="DC6" s="17"/>
      <c r="DD6" s="31"/>
      <c r="DE6" s="321"/>
      <c r="DF6" s="321"/>
      <c r="DG6" s="321"/>
      <c r="DH6" s="321"/>
      <c r="DI6" s="321"/>
      <c r="DJ6" s="321"/>
      <c r="DK6" s="321"/>
      <c r="DL6" s="321"/>
      <c r="DM6" s="321"/>
      <c r="DN6" s="321"/>
      <c r="DO6" s="321"/>
      <c r="DP6" s="322"/>
      <c r="DQ6" s="288"/>
      <c r="DR6" s="239">
        <f>SUM(DS6:DX6)/6</f>
        <v>3.3333333333333333E-2</v>
      </c>
      <c r="DS6" s="429">
        <f t="shared" ref="DS6:DS69" si="50">SUM(AA6:AG6,AI6:AN6,AP6:AU6,AW6:AZ6)/23</f>
        <v>0</v>
      </c>
      <c r="DT6" s="429">
        <f>SUM(BA6:BE6,BG6)/5</f>
        <v>0.2</v>
      </c>
      <c r="DU6" s="429">
        <f>SUM(BI6,BO6,BS6,BU6:BW6)/6</f>
        <v>0</v>
      </c>
      <c r="DV6" s="429">
        <f>SUM(BY6-CB6,CD6-CG6)/8</f>
        <v>0</v>
      </c>
      <c r="DW6" s="429">
        <f>SUM(CH6:CJ6,CL6:CO6,BN6,BR6)/9</f>
        <v>0</v>
      </c>
      <c r="DX6" s="429">
        <f>SUM(CP6,CR6:CV6)/6</f>
        <v>0</v>
      </c>
      <c r="DY6" s="133"/>
      <c r="DZ6" s="134"/>
      <c r="EA6" s="134"/>
      <c r="EB6" s="134"/>
      <c r="EC6" s="134"/>
      <c r="ED6" s="123"/>
      <c r="EH6" s="267">
        <v>0</v>
      </c>
      <c r="EI6" s="268"/>
      <c r="EJ6" s="269" t="b">
        <f t="shared" ref="EJ6:EJ69" si="51">IF((EI6*L6)&gt;0, L6/EI6)</f>
        <v>0</v>
      </c>
      <c r="EK6" s="430"/>
      <c r="EL6" s="430"/>
      <c r="EM6" s="430"/>
      <c r="EN6" s="430"/>
      <c r="EO6" s="430"/>
      <c r="EP6" s="430"/>
      <c r="EQ6" s="66"/>
      <c r="ER6" s="431"/>
      <c r="ES6" s="431"/>
      <c r="ET6" s="431"/>
      <c r="EU6" s="431"/>
      <c r="EV6" s="431"/>
      <c r="EZ6" s="393" t="s">
        <v>6</v>
      </c>
      <c r="FA6" s="393" t="s">
        <v>6</v>
      </c>
      <c r="FB6" s="389">
        <v>0.42</v>
      </c>
      <c r="FC6" s="389">
        <v>1350</v>
      </c>
      <c r="FD6" s="389">
        <v>1350</v>
      </c>
      <c r="FE6" s="389">
        <v>1350</v>
      </c>
      <c r="FF6" s="389">
        <v>1350</v>
      </c>
      <c r="FG6" s="390">
        <v>0</v>
      </c>
      <c r="FH6" s="390">
        <v>0</v>
      </c>
      <c r="FI6" s="390">
        <v>0</v>
      </c>
      <c r="FJ6" s="391">
        <v>0</v>
      </c>
      <c r="FK6" s="391" t="s">
        <v>1386</v>
      </c>
      <c r="FL6" s="31" t="s">
        <v>1387</v>
      </c>
      <c r="FN6" s="128" t="s">
        <v>1398</v>
      </c>
      <c r="FO6" s="128" t="s">
        <v>1399</v>
      </c>
      <c r="FP6" s="128"/>
    </row>
    <row r="7" spans="1:179" ht="22" customHeight="1" x14ac:dyDescent="0.2">
      <c r="A7" s="13" t="s">
        <v>7</v>
      </c>
      <c r="B7" s="14" t="s">
        <v>8</v>
      </c>
      <c r="C7" s="14"/>
      <c r="D7" s="14"/>
      <c r="E7" s="215" t="s">
        <v>9</v>
      </c>
      <c r="F7" s="15" t="s">
        <v>1355</v>
      </c>
      <c r="G7" s="15" t="s">
        <v>721</v>
      </c>
      <c r="H7" s="95">
        <f t="shared" si="0"/>
        <v>0</v>
      </c>
      <c r="I7" s="95">
        <f t="shared" si="1"/>
        <v>0</v>
      </c>
      <c r="J7" s="95"/>
      <c r="K7" s="256">
        <f t="shared" si="2"/>
        <v>0</v>
      </c>
      <c r="L7" s="282">
        <v>0</v>
      </c>
      <c r="M7" s="162"/>
      <c r="N7" s="155">
        <v>0</v>
      </c>
      <c r="O7" s="160" t="str">
        <f t="shared" si="3"/>
        <v>N/A or not found_x000D__x000D_</v>
      </c>
      <c r="P7" s="144" t="str">
        <f>CONCATENATE(V7,R7,X7)</f>
        <v>N/A or not found_x000D__x000D_</v>
      </c>
      <c r="Q7" s="360" t="s">
        <v>925</v>
      </c>
      <c r="R7" s="64" t="s">
        <v>918</v>
      </c>
      <c r="S7" s="432"/>
      <c r="T7" s="302" t="s">
        <v>1086</v>
      </c>
      <c r="U7" s="300" t="s">
        <v>1088</v>
      </c>
      <c r="V7" s="301" t="s">
        <v>925</v>
      </c>
      <c r="W7" s="258"/>
      <c r="X7" s="306" t="s">
        <v>834</v>
      </c>
      <c r="Y7" s="295"/>
      <c r="Z7" s="426" t="s">
        <v>828</v>
      </c>
      <c r="AA7" s="320">
        <f t="shared" si="4"/>
        <v>1</v>
      </c>
      <c r="AB7" s="320">
        <f t="shared" si="5"/>
        <v>0</v>
      </c>
      <c r="AC7" s="320">
        <f t="shared" si="6"/>
        <v>1</v>
      </c>
      <c r="AD7" s="320">
        <f t="shared" si="7"/>
        <v>1</v>
      </c>
      <c r="AE7" s="320">
        <f t="shared" si="8"/>
        <v>1</v>
      </c>
      <c r="AF7" s="320">
        <f t="shared" si="9"/>
        <v>0</v>
      </c>
      <c r="AG7" s="320">
        <f t="shared" si="10"/>
        <v>1</v>
      </c>
      <c r="AH7" s="427">
        <v>2</v>
      </c>
      <c r="AI7" s="320">
        <f t="shared" si="11"/>
        <v>0</v>
      </c>
      <c r="AJ7" s="320">
        <f t="shared" si="12"/>
        <v>0</v>
      </c>
      <c r="AK7" s="320">
        <f t="shared" si="13"/>
        <v>1</v>
      </c>
      <c r="AL7" s="320">
        <f t="shared" si="14"/>
        <v>0</v>
      </c>
      <c r="AM7" s="320">
        <f t="shared" si="15"/>
        <v>0</v>
      </c>
      <c r="AN7" s="320">
        <f t="shared" si="16"/>
        <v>0</v>
      </c>
      <c r="AO7" s="427">
        <v>1</v>
      </c>
      <c r="AP7" s="320">
        <f t="shared" si="17"/>
        <v>1</v>
      </c>
      <c r="AQ7" s="320">
        <f t="shared" si="18"/>
        <v>0</v>
      </c>
      <c r="AR7" s="320">
        <f t="shared" si="19"/>
        <v>0</v>
      </c>
      <c r="AS7" s="320">
        <f t="shared" si="20"/>
        <v>0</v>
      </c>
      <c r="AT7" s="320">
        <f t="shared" si="21"/>
        <v>0</v>
      </c>
      <c r="AU7" s="320">
        <f t="shared" si="22"/>
        <v>0</v>
      </c>
      <c r="AV7" s="427">
        <v>0</v>
      </c>
      <c r="AW7" s="320">
        <f t="shared" si="23"/>
        <v>0</v>
      </c>
      <c r="AX7" s="320">
        <f t="shared" si="24"/>
        <v>0</v>
      </c>
      <c r="AY7" s="320">
        <f t="shared" si="25"/>
        <v>0</v>
      </c>
      <c r="AZ7" s="320">
        <f t="shared" si="26"/>
        <v>0</v>
      </c>
      <c r="BA7" s="17">
        <v>1</v>
      </c>
      <c r="BB7" s="17" t="s">
        <v>1783</v>
      </c>
      <c r="BC7" s="17">
        <v>0</v>
      </c>
      <c r="BD7" s="17">
        <v>1</v>
      </c>
      <c r="BE7" s="17">
        <v>1</v>
      </c>
      <c r="BF7" s="17">
        <v>0</v>
      </c>
      <c r="BG7" s="428">
        <v>0</v>
      </c>
      <c r="BH7" s="17">
        <v>0</v>
      </c>
      <c r="BI7" s="17">
        <v>1</v>
      </c>
      <c r="BJ7" s="17" t="s">
        <v>1334</v>
      </c>
      <c r="BK7" s="17">
        <v>0</v>
      </c>
      <c r="BL7" s="17">
        <v>0</v>
      </c>
      <c r="BM7" s="17" t="s">
        <v>834</v>
      </c>
      <c r="BN7" s="320">
        <f t="shared" si="27"/>
        <v>0</v>
      </c>
      <c r="BO7" s="320">
        <f t="shared" si="28"/>
        <v>0</v>
      </c>
      <c r="BP7" s="427">
        <v>0</v>
      </c>
      <c r="BQ7" s="427" t="s">
        <v>1184</v>
      </c>
      <c r="BR7" s="320">
        <f t="shared" si="29"/>
        <v>0</v>
      </c>
      <c r="BS7" s="320">
        <f t="shared" si="29"/>
        <v>0</v>
      </c>
      <c r="BT7" s="427">
        <v>1</v>
      </c>
      <c r="BU7" s="320">
        <f t="shared" si="30"/>
        <v>1</v>
      </c>
      <c r="BV7" s="320">
        <f t="shared" si="31"/>
        <v>0</v>
      </c>
      <c r="BW7" s="320">
        <f t="shared" si="32"/>
        <v>0</v>
      </c>
      <c r="BX7" s="427" t="s">
        <v>317</v>
      </c>
      <c r="BY7" s="320">
        <f t="shared" si="33"/>
        <v>1</v>
      </c>
      <c r="BZ7" s="320">
        <f t="shared" si="34"/>
        <v>1</v>
      </c>
      <c r="CA7" s="320">
        <f t="shared" si="35"/>
        <v>0</v>
      </c>
      <c r="CB7" s="320">
        <f t="shared" si="36"/>
        <v>0</v>
      </c>
      <c r="CC7" s="427">
        <v>1</v>
      </c>
      <c r="CD7" s="320">
        <f t="shared" si="37"/>
        <v>1</v>
      </c>
      <c r="CE7" s="320">
        <f t="shared" si="38"/>
        <v>0</v>
      </c>
      <c r="CF7" s="320">
        <f t="shared" si="39"/>
        <v>0</v>
      </c>
      <c r="CG7" s="320">
        <f t="shared" si="40"/>
        <v>0</v>
      </c>
      <c r="CH7" s="427">
        <v>0</v>
      </c>
      <c r="CI7" s="427">
        <v>0</v>
      </c>
      <c r="CJ7" s="427">
        <v>0</v>
      </c>
      <c r="CK7" s="427">
        <v>0</v>
      </c>
      <c r="CL7" s="320">
        <v>0</v>
      </c>
      <c r="CM7" s="320">
        <f t="shared" si="41"/>
        <v>0</v>
      </c>
      <c r="CN7" s="320">
        <f t="shared" si="42"/>
        <v>0</v>
      </c>
      <c r="CO7" s="320">
        <f t="shared" si="43"/>
        <v>0</v>
      </c>
      <c r="CP7" s="427">
        <v>0</v>
      </c>
      <c r="CQ7" s="427">
        <v>0</v>
      </c>
      <c r="CR7" s="320">
        <f t="shared" si="44"/>
        <v>0</v>
      </c>
      <c r="CS7" s="320">
        <f t="shared" si="45"/>
        <v>0</v>
      </c>
      <c r="CT7" s="320">
        <f t="shared" si="46"/>
        <v>0</v>
      </c>
      <c r="CU7" s="320">
        <v>0</v>
      </c>
      <c r="CV7" s="427">
        <v>0</v>
      </c>
      <c r="CW7" s="17">
        <v>4</v>
      </c>
      <c r="CX7" s="320">
        <f t="shared" si="47"/>
        <v>0</v>
      </c>
      <c r="CY7" s="320">
        <f t="shared" si="48"/>
        <v>0</v>
      </c>
      <c r="CZ7" s="320">
        <f t="shared" si="49"/>
        <v>0</v>
      </c>
      <c r="DA7" s="17">
        <v>1</v>
      </c>
      <c r="DB7" s="17">
        <v>0</v>
      </c>
      <c r="DC7" s="17">
        <v>0</v>
      </c>
      <c r="DD7" s="31"/>
      <c r="DE7" s="354" t="s">
        <v>388</v>
      </c>
      <c r="DF7" s="354" t="s">
        <v>388</v>
      </c>
      <c r="DG7" s="354" t="s">
        <v>388</v>
      </c>
      <c r="DH7" s="354" t="s">
        <v>388</v>
      </c>
      <c r="DI7" s="346" t="s">
        <v>388</v>
      </c>
      <c r="DJ7" s="354" t="s">
        <v>388</v>
      </c>
      <c r="DK7" s="354" t="s">
        <v>388</v>
      </c>
      <c r="DL7" s="354" t="s">
        <v>388</v>
      </c>
      <c r="DM7" s="354" t="s">
        <v>829</v>
      </c>
      <c r="DN7" s="354" t="s">
        <v>388</v>
      </c>
      <c r="DO7" s="354" t="s">
        <v>388</v>
      </c>
      <c r="DP7" s="355"/>
      <c r="DQ7" s="384"/>
      <c r="DR7" s="239">
        <f>SUM(DS7:DX7)/6</f>
        <v>0.24794685990338164</v>
      </c>
      <c r="DS7" s="429">
        <f t="shared" si="50"/>
        <v>0.30434782608695654</v>
      </c>
      <c r="DT7" s="429">
        <f>SUM(BA7:BE7,BG7)/5</f>
        <v>0.6</v>
      </c>
      <c r="DU7" s="429">
        <f>SUM(BI7,BO7,BS7,BU7:BW7)/6</f>
        <v>0.33333333333333331</v>
      </c>
      <c r="DV7" s="429">
        <f>SUM(BY7-CB7,CD7-CG7)/8</f>
        <v>0.25</v>
      </c>
      <c r="DW7" s="429">
        <f>SUM(CH7:CJ7,CL7:CO7,BN7,BR7)/9</f>
        <v>0</v>
      </c>
      <c r="DX7" s="429">
        <f>SUM(CP7,CR7:CV7)/6</f>
        <v>0</v>
      </c>
      <c r="DY7" s="133"/>
      <c r="DZ7" s="135"/>
      <c r="EA7" s="135"/>
      <c r="EB7" s="135"/>
      <c r="EC7" s="135"/>
      <c r="ED7" s="124"/>
      <c r="EH7" s="259">
        <v>0</v>
      </c>
      <c r="EI7" s="260"/>
      <c r="EJ7" s="261" t="b">
        <f t="shared" si="51"/>
        <v>0</v>
      </c>
      <c r="EK7" s="262"/>
      <c r="EL7" s="262"/>
      <c r="EM7" s="262"/>
      <c r="EN7" s="433"/>
      <c r="EO7" s="433"/>
      <c r="EP7" s="433"/>
      <c r="EQ7" s="263"/>
      <c r="ER7" s="434"/>
      <c r="ES7" s="435"/>
      <c r="ET7" s="434"/>
      <c r="EU7" s="435"/>
      <c r="EV7" s="435"/>
      <c r="EZ7" s="393" t="s">
        <v>9</v>
      </c>
      <c r="FA7" s="393" t="s">
        <v>9</v>
      </c>
      <c r="FB7" s="389">
        <v>0.42</v>
      </c>
      <c r="FC7" s="389">
        <v>769.3</v>
      </c>
      <c r="FD7" s="389">
        <v>782.4</v>
      </c>
      <c r="FE7" s="389">
        <v>776.3</v>
      </c>
      <c r="FF7" s="389">
        <v>771.5</v>
      </c>
      <c r="FG7" s="390">
        <v>3.4056934875861234E-3</v>
      </c>
      <c r="FH7" s="390">
        <v>-1.5593047034764885E-3</v>
      </c>
      <c r="FI7" s="390">
        <v>-1.2366353213963557E-3</v>
      </c>
      <c r="FJ7" s="391">
        <v>-0.20693157749138927</v>
      </c>
      <c r="FK7" s="391" t="s">
        <v>1386</v>
      </c>
      <c r="FL7" s="31" t="s">
        <v>1391</v>
      </c>
      <c r="FN7" s="215" t="s">
        <v>1400</v>
      </c>
      <c r="FO7" s="215" t="s">
        <v>1401</v>
      </c>
      <c r="FP7" s="215" t="s">
        <v>1346</v>
      </c>
      <c r="FR7" s="402">
        <v>1</v>
      </c>
      <c r="FS7" s="402">
        <v>1</v>
      </c>
      <c r="FT7" s="402">
        <v>1</v>
      </c>
      <c r="FU7" s="402">
        <v>1</v>
      </c>
      <c r="FW7" s="436"/>
    </row>
    <row r="8" spans="1:179" ht="22" customHeight="1" x14ac:dyDescent="0.2">
      <c r="A8" s="13" t="s">
        <v>10</v>
      </c>
      <c r="B8" s="14" t="s">
        <v>11</v>
      </c>
      <c r="C8" s="14"/>
      <c r="D8" s="14"/>
      <c r="E8" s="128" t="s">
        <v>12</v>
      </c>
      <c r="F8" s="15" t="s">
        <v>1357</v>
      </c>
      <c r="G8" s="15" t="s">
        <v>635</v>
      </c>
      <c r="H8" s="95">
        <f t="shared" si="0"/>
        <v>0</v>
      </c>
      <c r="I8" s="95">
        <f t="shared" si="1"/>
        <v>0</v>
      </c>
      <c r="J8" s="95"/>
      <c r="K8" s="256">
        <f t="shared" si="2"/>
        <v>0</v>
      </c>
      <c r="L8" s="282">
        <v>0</v>
      </c>
      <c r="M8" s="25"/>
      <c r="N8" s="155">
        <v>0</v>
      </c>
      <c r="O8" s="144" t="str">
        <f t="shared" si="3"/>
        <v>Reforestation of 1 245 000 ha (by 2030)_x000D__x000D_</v>
      </c>
      <c r="P8" s="144" t="str">
        <f>CONCATENATE(V8,R8,X8)</f>
        <v>Afforestation, reforestation and prevention of forest fires as well as improving means to fight them._x000D_Regarding carbon capture, the country aims to accelerate and intensify its National Reforestation Plan with a global objective of reforestation of 1 245 000 ha (by 2030)_x000D__x000D_- To reinforce the ecosystems resilience (flooding and drought) in order to curtail the risks of natural disasters related to climate change;_x000D_- To fight against erosion and rehabilitate its degraded lands as part of the efforts to combat desertification ;_x000D_- To integrate the impacts of climate change into sectorial strategies, in particular for agriculture, water management, public health and transport;_x000D_- To integrate the impacts of climate change on political stability and national security.</v>
      </c>
      <c r="Q8" s="437" t="s">
        <v>1363</v>
      </c>
      <c r="R8" s="64" t="s">
        <v>918</v>
      </c>
      <c r="S8" s="437"/>
      <c r="T8" s="300" t="s">
        <v>1336</v>
      </c>
      <c r="U8" s="301" t="s">
        <v>1337</v>
      </c>
      <c r="V8" s="301" t="s">
        <v>1364</v>
      </c>
      <c r="W8" s="258"/>
      <c r="X8" s="316" t="s">
        <v>1361</v>
      </c>
      <c r="Y8" s="274"/>
      <c r="Z8" s="426" t="s">
        <v>1338</v>
      </c>
      <c r="AA8" s="320">
        <f t="shared" si="4"/>
        <v>1</v>
      </c>
      <c r="AB8" s="320">
        <f t="shared" si="5"/>
        <v>0</v>
      </c>
      <c r="AC8" s="320">
        <f t="shared" si="6"/>
        <v>1</v>
      </c>
      <c r="AD8" s="320">
        <f t="shared" si="7"/>
        <v>1</v>
      </c>
      <c r="AE8" s="320">
        <f t="shared" si="8"/>
        <v>1</v>
      </c>
      <c r="AF8" s="320">
        <f t="shared" si="9"/>
        <v>0</v>
      </c>
      <c r="AG8" s="320">
        <f t="shared" si="10"/>
        <v>1</v>
      </c>
      <c r="AH8" s="427">
        <v>1</v>
      </c>
      <c r="AI8" s="320">
        <f t="shared" si="11"/>
        <v>1</v>
      </c>
      <c r="AJ8" s="320">
        <f t="shared" si="12"/>
        <v>0</v>
      </c>
      <c r="AK8" s="320">
        <f t="shared" si="13"/>
        <v>0</v>
      </c>
      <c r="AL8" s="320">
        <f t="shared" si="14"/>
        <v>0</v>
      </c>
      <c r="AM8" s="320">
        <f t="shared" si="15"/>
        <v>0</v>
      </c>
      <c r="AN8" s="320">
        <f t="shared" si="16"/>
        <v>0</v>
      </c>
      <c r="AO8" s="427">
        <v>0</v>
      </c>
      <c r="AP8" s="320">
        <f t="shared" si="17"/>
        <v>0</v>
      </c>
      <c r="AQ8" s="320">
        <f t="shared" si="18"/>
        <v>0</v>
      </c>
      <c r="AR8" s="320">
        <f t="shared" si="19"/>
        <v>0</v>
      </c>
      <c r="AS8" s="320">
        <f t="shared" si="20"/>
        <v>0</v>
      </c>
      <c r="AT8" s="320">
        <f t="shared" si="21"/>
        <v>0</v>
      </c>
      <c r="AU8" s="320">
        <f t="shared" si="22"/>
        <v>0</v>
      </c>
      <c r="AV8" s="427">
        <v>3</v>
      </c>
      <c r="AW8" s="320">
        <f t="shared" si="23"/>
        <v>0</v>
      </c>
      <c r="AX8" s="320">
        <f t="shared" si="24"/>
        <v>0</v>
      </c>
      <c r="AY8" s="320">
        <f t="shared" si="25"/>
        <v>1</v>
      </c>
      <c r="AZ8" s="320">
        <f t="shared" si="26"/>
        <v>0</v>
      </c>
      <c r="BA8" s="17">
        <v>1</v>
      </c>
      <c r="BB8" s="17" t="s">
        <v>1336</v>
      </c>
      <c r="BC8" s="17">
        <v>0</v>
      </c>
      <c r="BD8" s="17">
        <v>0</v>
      </c>
      <c r="BE8" s="17">
        <v>0</v>
      </c>
      <c r="BF8" s="17">
        <v>0</v>
      </c>
      <c r="BG8" s="428">
        <f t="shared" ref="BG8:BG51" si="52">IF(BF8&gt;0,1,0)</f>
        <v>0</v>
      </c>
      <c r="BH8" s="17">
        <v>0</v>
      </c>
      <c r="BI8" s="17">
        <v>1</v>
      </c>
      <c r="BJ8" s="17" t="s">
        <v>1337</v>
      </c>
      <c r="BK8" s="17">
        <v>1</v>
      </c>
      <c r="BL8" s="17">
        <v>0</v>
      </c>
      <c r="BM8" s="17"/>
      <c r="BN8" s="320">
        <f t="shared" si="27"/>
        <v>0</v>
      </c>
      <c r="BO8" s="320">
        <f t="shared" si="28"/>
        <v>0</v>
      </c>
      <c r="BP8" s="427">
        <v>0</v>
      </c>
      <c r="BQ8" s="427"/>
      <c r="BR8" s="320">
        <f t="shared" si="29"/>
        <v>0</v>
      </c>
      <c r="BS8" s="320">
        <f t="shared" si="29"/>
        <v>0</v>
      </c>
      <c r="BT8" s="427">
        <v>1</v>
      </c>
      <c r="BU8" s="320">
        <f t="shared" si="30"/>
        <v>1</v>
      </c>
      <c r="BV8" s="320">
        <f t="shared" si="31"/>
        <v>0</v>
      </c>
      <c r="BW8" s="320">
        <f t="shared" si="32"/>
        <v>0</v>
      </c>
      <c r="BX8" s="427" t="s">
        <v>224</v>
      </c>
      <c r="BY8" s="320">
        <f t="shared" si="33"/>
        <v>1</v>
      </c>
      <c r="BZ8" s="320">
        <f t="shared" si="34"/>
        <v>1</v>
      </c>
      <c r="CA8" s="320">
        <f t="shared" si="35"/>
        <v>1</v>
      </c>
      <c r="CB8" s="320">
        <f t="shared" si="36"/>
        <v>0</v>
      </c>
      <c r="CC8" s="427"/>
      <c r="CD8" s="320">
        <f t="shared" si="37"/>
        <v>0</v>
      </c>
      <c r="CE8" s="320">
        <f t="shared" si="38"/>
        <v>0</v>
      </c>
      <c r="CF8" s="320">
        <f t="shared" si="39"/>
        <v>0</v>
      </c>
      <c r="CG8" s="320">
        <f t="shared" si="40"/>
        <v>0</v>
      </c>
      <c r="CH8" s="427">
        <v>0</v>
      </c>
      <c r="CI8" s="427">
        <v>0</v>
      </c>
      <c r="CJ8" s="427">
        <v>0</v>
      </c>
      <c r="CK8" s="427">
        <v>0</v>
      </c>
      <c r="CL8" s="320">
        <f t="shared" ref="CL8:CL71" si="53">IF(ISNUMBER(SEARCH("1",$CK8)),1,0)</f>
        <v>0</v>
      </c>
      <c r="CM8" s="320">
        <f t="shared" si="41"/>
        <v>0</v>
      </c>
      <c r="CN8" s="320">
        <f t="shared" si="42"/>
        <v>0</v>
      </c>
      <c r="CO8" s="320">
        <f t="shared" si="43"/>
        <v>0</v>
      </c>
      <c r="CP8" s="427">
        <v>1</v>
      </c>
      <c r="CQ8" s="427" t="s">
        <v>221</v>
      </c>
      <c r="CR8" s="320">
        <f t="shared" si="44"/>
        <v>1</v>
      </c>
      <c r="CS8" s="320">
        <f t="shared" si="45"/>
        <v>1</v>
      </c>
      <c r="CT8" s="320">
        <f t="shared" si="46"/>
        <v>0</v>
      </c>
      <c r="CU8" s="320">
        <f t="shared" ref="CU8:CU23" si="54">IF(ISNUMBER(SEARCH("3",$CQ8)),1,0)</f>
        <v>0</v>
      </c>
      <c r="CV8" s="427">
        <v>1</v>
      </c>
      <c r="CW8" s="17">
        <v>0</v>
      </c>
      <c r="CX8" s="320">
        <f t="shared" si="47"/>
        <v>0</v>
      </c>
      <c r="CY8" s="320">
        <f t="shared" si="48"/>
        <v>0</v>
      </c>
      <c r="CZ8" s="320">
        <f t="shared" si="49"/>
        <v>0</v>
      </c>
      <c r="DA8" s="17">
        <v>1</v>
      </c>
      <c r="DB8" s="17">
        <v>1</v>
      </c>
      <c r="DC8" s="17">
        <v>0</v>
      </c>
      <c r="DD8" s="31"/>
      <c r="DE8" s="346" t="s">
        <v>388</v>
      </c>
      <c r="DF8" s="346" t="s">
        <v>388</v>
      </c>
      <c r="DG8" s="346" t="s">
        <v>388</v>
      </c>
      <c r="DH8" s="346">
        <v>1</v>
      </c>
      <c r="DI8" s="346" t="s">
        <v>1362</v>
      </c>
      <c r="DJ8" s="346" t="s">
        <v>388</v>
      </c>
      <c r="DK8" s="346" t="s">
        <v>1360</v>
      </c>
      <c r="DL8" s="347" t="s">
        <v>1361</v>
      </c>
      <c r="DM8" s="346" t="s">
        <v>388</v>
      </c>
      <c r="DN8" s="346" t="s">
        <v>388</v>
      </c>
      <c r="DO8" s="346" t="s">
        <v>388</v>
      </c>
      <c r="DP8" s="348" t="s">
        <v>388</v>
      </c>
      <c r="DQ8" s="384" t="s">
        <v>387</v>
      </c>
      <c r="DR8" s="241"/>
      <c r="DS8" s="429">
        <f t="shared" si="50"/>
        <v>0.30434782608695654</v>
      </c>
      <c r="DT8" s="438">
        <f>SUM(BA8:BE8,BG8)/5</f>
        <v>0.2</v>
      </c>
      <c r="DU8" s="59">
        <f>SUM(BI8,BO8,BS8,BU8:BW8)/6</f>
        <v>0.33333333333333331</v>
      </c>
      <c r="DV8" s="59"/>
      <c r="DW8" s="59">
        <f>SUM(CH8:CJ8,CL8:CO8,BN8,BR8)/9</f>
        <v>0</v>
      </c>
      <c r="DX8" s="59">
        <f>SUM(CP8,CR8:CV8)/6</f>
        <v>0.66666666666666663</v>
      </c>
      <c r="DY8" s="59"/>
      <c r="DZ8" s="134"/>
      <c r="EA8" s="134"/>
      <c r="EB8" s="134"/>
      <c r="EC8" s="134"/>
      <c r="ED8" s="123"/>
      <c r="EH8" s="46">
        <v>0</v>
      </c>
      <c r="EI8" s="45"/>
      <c r="EJ8" s="33" t="b">
        <f t="shared" si="51"/>
        <v>0</v>
      </c>
      <c r="EK8" s="42"/>
      <c r="EL8" s="42"/>
      <c r="EM8" s="42"/>
      <c r="EN8" s="439"/>
      <c r="EO8" s="439"/>
      <c r="EP8" s="439"/>
      <c r="EQ8" s="47"/>
      <c r="ER8" s="431">
        <v>1</v>
      </c>
      <c r="ES8" s="440"/>
      <c r="ET8" s="431" t="s">
        <v>674</v>
      </c>
      <c r="EU8" s="440"/>
      <c r="EV8" s="440"/>
      <c r="EZ8" s="393" t="s">
        <v>12</v>
      </c>
      <c r="FA8" s="393" t="s">
        <v>12</v>
      </c>
      <c r="FB8" s="389">
        <v>1667</v>
      </c>
      <c r="FC8" s="389">
        <v>1579</v>
      </c>
      <c r="FD8" s="389">
        <v>1536</v>
      </c>
      <c r="FE8" s="389">
        <v>1918</v>
      </c>
      <c r="FF8" s="389">
        <v>1956</v>
      </c>
      <c r="FG8" s="390">
        <v>-5.4464851171627613E-3</v>
      </c>
      <c r="FH8" s="390">
        <v>4.973958333333333E-2</v>
      </c>
      <c r="FI8" s="390">
        <v>3.962460896767466E-3</v>
      </c>
      <c r="FJ8" s="391" t="s">
        <v>1389</v>
      </c>
      <c r="FK8" s="391">
        <v>-0.92033586469326134</v>
      </c>
      <c r="FL8" s="31" t="s">
        <v>1394</v>
      </c>
      <c r="FN8" s="128" t="s">
        <v>1402</v>
      </c>
      <c r="FO8" s="128" t="s">
        <v>1403</v>
      </c>
      <c r="FP8" s="215" t="s">
        <v>1346</v>
      </c>
      <c r="FR8" s="402">
        <v>1</v>
      </c>
      <c r="FS8" s="402">
        <v>1</v>
      </c>
      <c r="FT8" s="402">
        <v>1</v>
      </c>
      <c r="FU8" s="402">
        <v>0</v>
      </c>
    </row>
    <row r="9" spans="1:179" ht="22" hidden="1" customHeight="1" x14ac:dyDescent="0.2">
      <c r="A9" s="13" t="s">
        <v>7</v>
      </c>
      <c r="B9" s="14" t="s">
        <v>8</v>
      </c>
      <c r="C9" s="9" t="s">
        <v>1025</v>
      </c>
      <c r="D9" s="14"/>
      <c r="E9" s="128" t="s">
        <v>13</v>
      </c>
      <c r="F9" s="15"/>
      <c r="G9" s="15" t="s">
        <v>634</v>
      </c>
      <c r="H9" s="95">
        <f t="shared" si="0"/>
        <v>1</v>
      </c>
      <c r="I9" s="95">
        <f t="shared" si="1"/>
        <v>0</v>
      </c>
      <c r="J9" s="95"/>
      <c r="K9" s="256">
        <f t="shared" si="2"/>
        <v>1</v>
      </c>
      <c r="L9" s="278">
        <v>0</v>
      </c>
      <c r="M9" s="25"/>
      <c r="N9" s="89"/>
      <c r="O9" s="144" t="str">
        <f t="shared" si="3"/>
        <v>_x000D__x000D_</v>
      </c>
      <c r="P9" s="144" t="str">
        <f>CONCATENATE(V9,R9,X9)</f>
        <v>_x000D__x000D_</v>
      </c>
      <c r="Q9" s="64"/>
      <c r="R9" s="64" t="s">
        <v>918</v>
      </c>
      <c r="S9" s="425"/>
      <c r="T9" s="300" t="s">
        <v>834</v>
      </c>
      <c r="U9" s="301" t="s">
        <v>834</v>
      </c>
      <c r="V9" s="301" t="s">
        <v>834</v>
      </c>
      <c r="W9" s="258"/>
      <c r="X9" s="307" t="s">
        <v>834</v>
      </c>
      <c r="Y9" s="274"/>
      <c r="Z9" s="426"/>
      <c r="AA9" s="320">
        <f t="shared" si="4"/>
        <v>0</v>
      </c>
      <c r="AB9" s="320">
        <f t="shared" si="5"/>
        <v>0</v>
      </c>
      <c r="AC9" s="320">
        <f t="shared" si="6"/>
        <v>0</v>
      </c>
      <c r="AD9" s="320">
        <f t="shared" si="7"/>
        <v>0</v>
      </c>
      <c r="AE9" s="320">
        <f t="shared" si="8"/>
        <v>0</v>
      </c>
      <c r="AF9" s="320">
        <f t="shared" si="9"/>
        <v>0</v>
      </c>
      <c r="AG9" s="320">
        <f t="shared" si="10"/>
        <v>0</v>
      </c>
      <c r="AH9" s="427"/>
      <c r="AI9" s="320">
        <f t="shared" si="11"/>
        <v>0</v>
      </c>
      <c r="AJ9" s="320">
        <f t="shared" si="12"/>
        <v>0</v>
      </c>
      <c r="AK9" s="320">
        <f t="shared" si="13"/>
        <v>0</v>
      </c>
      <c r="AL9" s="320">
        <f t="shared" si="14"/>
        <v>0</v>
      </c>
      <c r="AM9" s="320">
        <f t="shared" si="15"/>
        <v>0</v>
      </c>
      <c r="AN9" s="320">
        <f t="shared" si="16"/>
        <v>0</v>
      </c>
      <c r="AO9" s="427"/>
      <c r="AP9" s="320">
        <f t="shared" si="17"/>
        <v>0</v>
      </c>
      <c r="AQ9" s="320">
        <f t="shared" si="18"/>
        <v>0</v>
      </c>
      <c r="AR9" s="320">
        <f t="shared" si="19"/>
        <v>0</v>
      </c>
      <c r="AS9" s="320">
        <f t="shared" si="20"/>
        <v>0</v>
      </c>
      <c r="AT9" s="320">
        <f t="shared" si="21"/>
        <v>0</v>
      </c>
      <c r="AU9" s="320">
        <f t="shared" si="22"/>
        <v>0</v>
      </c>
      <c r="AV9" s="427"/>
      <c r="AW9" s="320">
        <f t="shared" si="23"/>
        <v>0</v>
      </c>
      <c r="AX9" s="320">
        <f t="shared" si="24"/>
        <v>0</v>
      </c>
      <c r="AY9" s="320">
        <f t="shared" si="25"/>
        <v>0</v>
      </c>
      <c r="AZ9" s="320">
        <f t="shared" si="26"/>
        <v>0</v>
      </c>
      <c r="BA9" s="17"/>
      <c r="BB9" s="17" t="s">
        <v>834</v>
      </c>
      <c r="BC9" s="17"/>
      <c r="BD9" s="17"/>
      <c r="BE9" s="17"/>
      <c r="BF9" s="17"/>
      <c r="BG9" s="428">
        <f t="shared" si="52"/>
        <v>0</v>
      </c>
      <c r="BH9" s="17"/>
      <c r="BI9" s="17"/>
      <c r="BJ9" s="17"/>
      <c r="BK9" s="17"/>
      <c r="BL9" s="17"/>
      <c r="BM9" s="17"/>
      <c r="BN9" s="320">
        <f t="shared" si="27"/>
        <v>0</v>
      </c>
      <c r="BO9" s="320">
        <f t="shared" si="28"/>
        <v>0</v>
      </c>
      <c r="BP9" s="427"/>
      <c r="BQ9" s="427"/>
      <c r="BR9" s="320">
        <f t="shared" si="29"/>
        <v>0</v>
      </c>
      <c r="BS9" s="320">
        <f t="shared" si="29"/>
        <v>0</v>
      </c>
      <c r="BT9" s="427"/>
      <c r="BU9" s="320">
        <f t="shared" si="30"/>
        <v>0</v>
      </c>
      <c r="BV9" s="320">
        <f t="shared" si="31"/>
        <v>0</v>
      </c>
      <c r="BW9" s="320">
        <f t="shared" si="32"/>
        <v>0</v>
      </c>
      <c r="BX9" s="427"/>
      <c r="BY9" s="320">
        <f t="shared" si="33"/>
        <v>0</v>
      </c>
      <c r="BZ9" s="320">
        <f t="shared" si="34"/>
        <v>0</v>
      </c>
      <c r="CA9" s="320">
        <f t="shared" si="35"/>
        <v>0</v>
      </c>
      <c r="CB9" s="320">
        <f t="shared" si="36"/>
        <v>0</v>
      </c>
      <c r="CC9" s="427"/>
      <c r="CD9" s="320">
        <f t="shared" si="37"/>
        <v>0</v>
      </c>
      <c r="CE9" s="320">
        <f t="shared" si="38"/>
        <v>0</v>
      </c>
      <c r="CF9" s="320">
        <f t="shared" si="39"/>
        <v>0</v>
      </c>
      <c r="CG9" s="320">
        <f t="shared" si="40"/>
        <v>0</v>
      </c>
      <c r="CH9" s="427"/>
      <c r="CI9" s="427"/>
      <c r="CJ9" s="427"/>
      <c r="CK9" s="427"/>
      <c r="CL9" s="320">
        <f t="shared" si="53"/>
        <v>0</v>
      </c>
      <c r="CM9" s="320">
        <f t="shared" si="41"/>
        <v>0</v>
      </c>
      <c r="CN9" s="320">
        <f t="shared" si="42"/>
        <v>0</v>
      </c>
      <c r="CO9" s="320">
        <f t="shared" si="43"/>
        <v>0</v>
      </c>
      <c r="CP9" s="427"/>
      <c r="CQ9" s="427"/>
      <c r="CR9" s="320">
        <f t="shared" si="44"/>
        <v>0</v>
      </c>
      <c r="CS9" s="320">
        <f t="shared" si="45"/>
        <v>0</v>
      </c>
      <c r="CT9" s="320">
        <f t="shared" si="46"/>
        <v>0</v>
      </c>
      <c r="CU9" s="320">
        <f t="shared" si="54"/>
        <v>0</v>
      </c>
      <c r="CV9" s="427"/>
      <c r="CW9" s="17"/>
      <c r="CX9" s="320">
        <f t="shared" si="47"/>
        <v>0</v>
      </c>
      <c r="CY9" s="320">
        <f t="shared" si="48"/>
        <v>0</v>
      </c>
      <c r="CZ9" s="320">
        <f t="shared" si="49"/>
        <v>0</v>
      </c>
      <c r="DA9" s="17"/>
      <c r="DB9" s="17"/>
      <c r="DC9" s="17"/>
      <c r="DD9" s="31"/>
      <c r="DE9" s="323"/>
      <c r="DF9" s="323"/>
      <c r="DG9" s="323"/>
      <c r="DH9" s="323"/>
      <c r="DI9" s="323"/>
      <c r="DJ9" s="323"/>
      <c r="DK9" s="323"/>
      <c r="DL9" s="323"/>
      <c r="DM9" s="323"/>
      <c r="DN9" s="323"/>
      <c r="DO9" s="323"/>
      <c r="DP9" s="324"/>
      <c r="DQ9" s="288"/>
      <c r="DR9" s="242"/>
      <c r="DS9" s="429">
        <f t="shared" si="50"/>
        <v>0</v>
      </c>
      <c r="DT9" s="438"/>
      <c r="DU9" s="59"/>
      <c r="DV9" s="59"/>
      <c r="DW9" s="59"/>
      <c r="DX9" s="59"/>
      <c r="DY9" s="59"/>
      <c r="DZ9" s="134"/>
      <c r="EA9" s="134"/>
      <c r="EB9" s="134"/>
      <c r="EC9" s="134"/>
      <c r="ED9" s="123"/>
      <c r="EH9" s="46">
        <v>0</v>
      </c>
      <c r="EI9" s="45"/>
      <c r="EJ9" s="33" t="b">
        <f t="shared" si="51"/>
        <v>0</v>
      </c>
      <c r="EK9" s="42"/>
      <c r="EL9" s="42"/>
      <c r="EM9" s="42"/>
      <c r="EN9" s="439"/>
      <c r="EO9" s="439"/>
      <c r="EP9" s="439"/>
      <c r="EQ9" s="47"/>
      <c r="ER9" s="431">
        <v>1</v>
      </c>
      <c r="ES9" s="440"/>
      <c r="ET9" s="431"/>
      <c r="EU9" s="440"/>
      <c r="EV9" s="440"/>
      <c r="EZ9" s="393" t="s">
        <v>13</v>
      </c>
      <c r="FA9" s="393" t="s">
        <v>13</v>
      </c>
      <c r="FB9" s="389">
        <v>0.42</v>
      </c>
      <c r="FC9" s="389">
        <v>16</v>
      </c>
      <c r="FD9" s="389">
        <v>16</v>
      </c>
      <c r="FE9" s="389">
        <v>16</v>
      </c>
      <c r="FF9" s="389">
        <v>16</v>
      </c>
      <c r="FG9" s="390">
        <v>0</v>
      </c>
      <c r="FH9" s="390">
        <v>0</v>
      </c>
      <c r="FI9" s="390">
        <v>0</v>
      </c>
      <c r="FJ9" s="391">
        <v>0</v>
      </c>
      <c r="FK9" s="391" t="s">
        <v>1386</v>
      </c>
      <c r="FL9" s="31" t="s">
        <v>1387</v>
      </c>
      <c r="FN9" s="128" t="s">
        <v>1404</v>
      </c>
      <c r="FO9" s="128" t="s">
        <v>1405</v>
      </c>
      <c r="FP9" s="128"/>
    </row>
    <row r="10" spans="1:179" ht="22" hidden="1" customHeight="1" x14ac:dyDescent="0.2">
      <c r="A10" s="13" t="s">
        <v>10</v>
      </c>
      <c r="B10" s="14" t="s">
        <v>14</v>
      </c>
      <c r="C10" s="14"/>
      <c r="D10" s="14"/>
      <c r="E10" s="128" t="s">
        <v>15</v>
      </c>
      <c r="F10" s="15"/>
      <c r="G10" s="15" t="s">
        <v>634</v>
      </c>
      <c r="H10" s="95">
        <f t="shared" si="0"/>
        <v>1</v>
      </c>
      <c r="I10" s="95">
        <f t="shared" si="1"/>
        <v>0</v>
      </c>
      <c r="J10" s="95"/>
      <c r="K10" s="256">
        <f t="shared" si="2"/>
        <v>1</v>
      </c>
      <c r="L10" s="278">
        <v>0</v>
      </c>
      <c r="M10" s="25"/>
      <c r="N10" s="89"/>
      <c r="O10" s="144" t="str">
        <f t="shared" si="3"/>
        <v>_x000D__x000D_</v>
      </c>
      <c r="P10" s="144"/>
      <c r="Q10" s="64"/>
      <c r="R10" s="64" t="s">
        <v>918</v>
      </c>
      <c r="S10" s="425"/>
      <c r="T10" s="300" t="s">
        <v>834</v>
      </c>
      <c r="U10" s="301" t="s">
        <v>834</v>
      </c>
      <c r="V10" s="301" t="s">
        <v>834</v>
      </c>
      <c r="W10" s="258"/>
      <c r="X10" s="307" t="s">
        <v>834</v>
      </c>
      <c r="Y10" s="274"/>
      <c r="Z10" s="426"/>
      <c r="AA10" s="320">
        <f t="shared" si="4"/>
        <v>0</v>
      </c>
      <c r="AB10" s="320">
        <f t="shared" si="5"/>
        <v>0</v>
      </c>
      <c r="AC10" s="320">
        <f t="shared" si="6"/>
        <v>0</v>
      </c>
      <c r="AD10" s="320">
        <f t="shared" si="7"/>
        <v>0</v>
      </c>
      <c r="AE10" s="320">
        <f t="shared" si="8"/>
        <v>0</v>
      </c>
      <c r="AF10" s="320">
        <f t="shared" si="9"/>
        <v>0</v>
      </c>
      <c r="AG10" s="320">
        <f t="shared" si="10"/>
        <v>0</v>
      </c>
      <c r="AH10" s="427"/>
      <c r="AI10" s="320">
        <f t="shared" si="11"/>
        <v>0</v>
      </c>
      <c r="AJ10" s="320">
        <f t="shared" si="12"/>
        <v>0</v>
      </c>
      <c r="AK10" s="320">
        <f t="shared" si="13"/>
        <v>0</v>
      </c>
      <c r="AL10" s="320">
        <f t="shared" si="14"/>
        <v>0</v>
      </c>
      <c r="AM10" s="320">
        <f t="shared" si="15"/>
        <v>0</v>
      </c>
      <c r="AN10" s="320">
        <f t="shared" si="16"/>
        <v>0</v>
      </c>
      <c r="AO10" s="427"/>
      <c r="AP10" s="320">
        <f t="shared" si="17"/>
        <v>0</v>
      </c>
      <c r="AQ10" s="320">
        <f t="shared" si="18"/>
        <v>0</v>
      </c>
      <c r="AR10" s="320">
        <f t="shared" si="19"/>
        <v>0</v>
      </c>
      <c r="AS10" s="320">
        <f t="shared" si="20"/>
        <v>0</v>
      </c>
      <c r="AT10" s="320">
        <f t="shared" si="21"/>
        <v>0</v>
      </c>
      <c r="AU10" s="320">
        <f t="shared" si="22"/>
        <v>0</v>
      </c>
      <c r="AV10" s="427"/>
      <c r="AW10" s="320">
        <f t="shared" si="23"/>
        <v>0</v>
      </c>
      <c r="AX10" s="320">
        <f t="shared" si="24"/>
        <v>0</v>
      </c>
      <c r="AY10" s="320">
        <f t="shared" si="25"/>
        <v>0</v>
      </c>
      <c r="AZ10" s="320">
        <f t="shared" si="26"/>
        <v>0</v>
      </c>
      <c r="BA10" s="17"/>
      <c r="BB10" s="17" t="s">
        <v>834</v>
      </c>
      <c r="BC10" s="17"/>
      <c r="BD10" s="17"/>
      <c r="BE10" s="17"/>
      <c r="BF10" s="17"/>
      <c r="BG10" s="428">
        <f t="shared" si="52"/>
        <v>0</v>
      </c>
      <c r="BH10" s="17"/>
      <c r="BI10" s="17"/>
      <c r="BJ10" s="17"/>
      <c r="BK10" s="17"/>
      <c r="BL10" s="17"/>
      <c r="BM10" s="17"/>
      <c r="BN10" s="320">
        <f t="shared" si="27"/>
        <v>0</v>
      </c>
      <c r="BO10" s="320">
        <f t="shared" si="28"/>
        <v>0</v>
      </c>
      <c r="BP10" s="427"/>
      <c r="BQ10" s="427"/>
      <c r="BR10" s="320">
        <f t="shared" si="29"/>
        <v>0</v>
      </c>
      <c r="BS10" s="320">
        <f t="shared" si="29"/>
        <v>0</v>
      </c>
      <c r="BT10" s="427"/>
      <c r="BU10" s="320">
        <f t="shared" si="30"/>
        <v>0</v>
      </c>
      <c r="BV10" s="320">
        <f t="shared" si="31"/>
        <v>0</v>
      </c>
      <c r="BW10" s="320">
        <f t="shared" si="32"/>
        <v>0</v>
      </c>
      <c r="BX10" s="427"/>
      <c r="BY10" s="320">
        <f t="shared" si="33"/>
        <v>0</v>
      </c>
      <c r="BZ10" s="320">
        <f t="shared" si="34"/>
        <v>0</v>
      </c>
      <c r="CA10" s="320">
        <f t="shared" si="35"/>
        <v>0</v>
      </c>
      <c r="CB10" s="320">
        <f t="shared" si="36"/>
        <v>0</v>
      </c>
      <c r="CC10" s="427"/>
      <c r="CD10" s="320">
        <f t="shared" si="37"/>
        <v>0</v>
      </c>
      <c r="CE10" s="320">
        <f t="shared" si="38"/>
        <v>0</v>
      </c>
      <c r="CF10" s="320">
        <f t="shared" si="39"/>
        <v>0</v>
      </c>
      <c r="CG10" s="320">
        <f t="shared" si="40"/>
        <v>0</v>
      </c>
      <c r="CH10" s="427"/>
      <c r="CI10" s="427"/>
      <c r="CJ10" s="427"/>
      <c r="CK10" s="427"/>
      <c r="CL10" s="320">
        <f t="shared" si="53"/>
        <v>0</v>
      </c>
      <c r="CM10" s="320">
        <f t="shared" si="41"/>
        <v>0</v>
      </c>
      <c r="CN10" s="320">
        <f t="shared" si="42"/>
        <v>0</v>
      </c>
      <c r="CO10" s="320">
        <f t="shared" si="43"/>
        <v>0</v>
      </c>
      <c r="CP10" s="427"/>
      <c r="CQ10" s="427"/>
      <c r="CR10" s="320">
        <f t="shared" si="44"/>
        <v>0</v>
      </c>
      <c r="CS10" s="320">
        <f t="shared" si="45"/>
        <v>0</v>
      </c>
      <c r="CT10" s="320">
        <f t="shared" si="46"/>
        <v>0</v>
      </c>
      <c r="CU10" s="320">
        <f t="shared" si="54"/>
        <v>0</v>
      </c>
      <c r="CV10" s="427"/>
      <c r="CW10" s="17"/>
      <c r="CX10" s="320">
        <f t="shared" si="47"/>
        <v>0</v>
      </c>
      <c r="CY10" s="320">
        <f t="shared" si="48"/>
        <v>0</v>
      </c>
      <c r="CZ10" s="320">
        <f t="shared" si="49"/>
        <v>0</v>
      </c>
      <c r="DA10" s="17"/>
      <c r="DB10" s="17"/>
      <c r="DC10" s="17"/>
      <c r="DD10" s="31"/>
      <c r="DE10" s="321"/>
      <c r="DF10" s="321"/>
      <c r="DG10" s="321"/>
      <c r="DH10" s="321"/>
      <c r="DI10" s="321"/>
      <c r="DJ10" s="321"/>
      <c r="DK10" s="321"/>
      <c r="DL10" s="321"/>
      <c r="DM10" s="321"/>
      <c r="DN10" s="321"/>
      <c r="DO10" s="321"/>
      <c r="DP10" s="322"/>
      <c r="DQ10" s="288"/>
      <c r="DR10" s="241"/>
      <c r="DS10" s="429">
        <f t="shared" si="50"/>
        <v>0</v>
      </c>
      <c r="DT10" s="438"/>
      <c r="DU10" s="59"/>
      <c r="DV10" s="59"/>
      <c r="DW10" s="59"/>
      <c r="DX10" s="59"/>
      <c r="DY10" s="59"/>
      <c r="DZ10" s="134"/>
      <c r="EA10" s="134"/>
      <c r="EB10" s="134"/>
      <c r="EC10" s="134"/>
      <c r="ED10" s="123"/>
      <c r="EH10" s="46">
        <v>1</v>
      </c>
      <c r="EI10" s="56"/>
      <c r="EJ10" s="33" t="b">
        <f t="shared" si="51"/>
        <v>0</v>
      </c>
      <c r="EK10" s="57"/>
      <c r="EL10" s="57"/>
      <c r="EM10" s="57"/>
      <c r="EN10" s="441"/>
      <c r="EO10" s="441"/>
      <c r="EP10" s="441"/>
      <c r="EQ10" s="54"/>
      <c r="ER10" s="43">
        <v>1</v>
      </c>
      <c r="ES10" s="54"/>
      <c r="ET10" s="442" t="s">
        <v>667</v>
      </c>
      <c r="EU10" s="32"/>
      <c r="EV10" s="32"/>
      <c r="EZ10" s="393" t="s">
        <v>15</v>
      </c>
      <c r="FA10" s="393" t="s">
        <v>15</v>
      </c>
      <c r="FB10" s="389">
        <v>0.42</v>
      </c>
      <c r="FC10" s="389">
        <v>59728</v>
      </c>
      <c r="FD10" s="389">
        <v>59104</v>
      </c>
      <c r="FE10" s="389">
        <v>58480</v>
      </c>
      <c r="FF10" s="389">
        <v>57856</v>
      </c>
      <c r="FG10" s="390">
        <v>-2.0894722743102063E-3</v>
      </c>
      <c r="FH10" s="390">
        <v>-2.1115322144017326E-3</v>
      </c>
      <c r="FI10" s="390">
        <v>-2.1340629274965799E-3</v>
      </c>
      <c r="FJ10" s="391">
        <v>1.0670314637482794E-2</v>
      </c>
      <c r="FK10" s="391" t="s">
        <v>1386</v>
      </c>
      <c r="FL10" s="31" t="s">
        <v>1379</v>
      </c>
      <c r="FN10" s="128" t="s">
        <v>1406</v>
      </c>
      <c r="FO10" s="128" t="s">
        <v>1407</v>
      </c>
      <c r="FP10" s="128"/>
    </row>
    <row r="11" spans="1:179" ht="22" hidden="1" customHeight="1" x14ac:dyDescent="0.2">
      <c r="A11" s="13" t="s">
        <v>16</v>
      </c>
      <c r="B11" s="19" t="s">
        <v>17</v>
      </c>
      <c r="C11" s="19"/>
      <c r="D11" s="19"/>
      <c r="E11" s="128" t="s">
        <v>18</v>
      </c>
      <c r="F11" s="15"/>
      <c r="G11" s="15" t="s">
        <v>635</v>
      </c>
      <c r="H11" s="95">
        <f t="shared" si="0"/>
        <v>0</v>
      </c>
      <c r="I11" s="95">
        <f t="shared" si="1"/>
        <v>0</v>
      </c>
      <c r="J11" s="95"/>
      <c r="K11" s="256">
        <f t="shared" si="2"/>
        <v>0</v>
      </c>
      <c r="L11" s="278">
        <v>0</v>
      </c>
      <c r="M11" s="25"/>
      <c r="N11" s="89"/>
      <c r="O11" s="144" t="str">
        <f t="shared" si="3"/>
        <v>_x000D__x000D_</v>
      </c>
      <c r="P11" s="144"/>
      <c r="Q11" s="64"/>
      <c r="R11" s="64" t="s">
        <v>918</v>
      </c>
      <c r="S11" s="425"/>
      <c r="T11" s="300" t="s">
        <v>853</v>
      </c>
      <c r="U11" s="301" t="s">
        <v>896</v>
      </c>
      <c r="V11" s="301" t="s">
        <v>834</v>
      </c>
      <c r="W11" s="258"/>
      <c r="X11" s="307" t="s">
        <v>834</v>
      </c>
      <c r="Y11" s="274"/>
      <c r="Z11" s="426"/>
      <c r="AA11" s="320">
        <f t="shared" si="4"/>
        <v>0</v>
      </c>
      <c r="AB11" s="320">
        <f t="shared" si="5"/>
        <v>0</v>
      </c>
      <c r="AC11" s="320">
        <f t="shared" si="6"/>
        <v>0</v>
      </c>
      <c r="AD11" s="320">
        <f t="shared" si="7"/>
        <v>0</v>
      </c>
      <c r="AE11" s="320">
        <f t="shared" si="8"/>
        <v>0</v>
      </c>
      <c r="AF11" s="320">
        <f t="shared" si="9"/>
        <v>0</v>
      </c>
      <c r="AG11" s="320">
        <f t="shared" si="10"/>
        <v>0</v>
      </c>
      <c r="AH11" s="427"/>
      <c r="AI11" s="320">
        <f t="shared" si="11"/>
        <v>0</v>
      </c>
      <c r="AJ11" s="320">
        <f t="shared" si="12"/>
        <v>0</v>
      </c>
      <c r="AK11" s="320">
        <f t="shared" si="13"/>
        <v>0</v>
      </c>
      <c r="AL11" s="320">
        <f t="shared" si="14"/>
        <v>0</v>
      </c>
      <c r="AM11" s="320">
        <f t="shared" si="15"/>
        <v>0</v>
      </c>
      <c r="AN11" s="320">
        <f t="shared" si="16"/>
        <v>0</v>
      </c>
      <c r="AO11" s="427"/>
      <c r="AP11" s="320">
        <f t="shared" si="17"/>
        <v>0</v>
      </c>
      <c r="AQ11" s="320">
        <f t="shared" si="18"/>
        <v>0</v>
      </c>
      <c r="AR11" s="320">
        <f t="shared" si="19"/>
        <v>0</v>
      </c>
      <c r="AS11" s="320">
        <f t="shared" si="20"/>
        <v>0</v>
      </c>
      <c r="AT11" s="320">
        <f t="shared" si="21"/>
        <v>0</v>
      </c>
      <c r="AU11" s="320">
        <f t="shared" si="22"/>
        <v>0</v>
      </c>
      <c r="AV11" s="427"/>
      <c r="AW11" s="320">
        <f t="shared" si="23"/>
        <v>0</v>
      </c>
      <c r="AX11" s="320">
        <f t="shared" si="24"/>
        <v>0</v>
      </c>
      <c r="AY11" s="320">
        <f t="shared" si="25"/>
        <v>0</v>
      </c>
      <c r="AZ11" s="320">
        <f t="shared" si="26"/>
        <v>0</v>
      </c>
      <c r="BA11" s="17">
        <v>1</v>
      </c>
      <c r="BB11" s="17" t="s">
        <v>853</v>
      </c>
      <c r="BC11" s="17">
        <v>10</v>
      </c>
      <c r="BD11" s="17">
        <v>2020</v>
      </c>
      <c r="BE11" s="17">
        <v>0</v>
      </c>
      <c r="BF11" s="17" t="s">
        <v>240</v>
      </c>
      <c r="BG11" s="428">
        <f t="shared" si="52"/>
        <v>1</v>
      </c>
      <c r="BH11" s="17"/>
      <c r="BI11" s="17">
        <v>1</v>
      </c>
      <c r="BJ11" s="17"/>
      <c r="BK11" s="17"/>
      <c r="BL11" s="17"/>
      <c r="BM11" s="17"/>
      <c r="BN11" s="320">
        <f t="shared" si="27"/>
        <v>0</v>
      </c>
      <c r="BO11" s="320">
        <f t="shared" si="28"/>
        <v>0</v>
      </c>
      <c r="BP11" s="427"/>
      <c r="BQ11" s="427"/>
      <c r="BR11" s="320">
        <f t="shared" si="29"/>
        <v>0</v>
      </c>
      <c r="BS11" s="320">
        <f t="shared" si="29"/>
        <v>0</v>
      </c>
      <c r="BT11" s="427"/>
      <c r="BU11" s="320">
        <f t="shared" si="30"/>
        <v>0</v>
      </c>
      <c r="BV11" s="320">
        <f t="shared" si="31"/>
        <v>0</v>
      </c>
      <c r="BW11" s="320">
        <f t="shared" si="32"/>
        <v>0</v>
      </c>
      <c r="BX11" s="427"/>
      <c r="BY11" s="320">
        <f t="shared" si="33"/>
        <v>0</v>
      </c>
      <c r="BZ11" s="320">
        <f t="shared" si="34"/>
        <v>0</v>
      </c>
      <c r="CA11" s="320">
        <f t="shared" si="35"/>
        <v>0</v>
      </c>
      <c r="CB11" s="320">
        <f t="shared" si="36"/>
        <v>0</v>
      </c>
      <c r="CC11" s="427"/>
      <c r="CD11" s="320">
        <f t="shared" si="37"/>
        <v>0</v>
      </c>
      <c r="CE11" s="320">
        <f t="shared" si="38"/>
        <v>0</v>
      </c>
      <c r="CF11" s="320">
        <f t="shared" si="39"/>
        <v>0</v>
      </c>
      <c r="CG11" s="320">
        <f t="shared" si="40"/>
        <v>0</v>
      </c>
      <c r="CH11" s="427"/>
      <c r="CI11" s="427"/>
      <c r="CJ11" s="427"/>
      <c r="CK11" s="427"/>
      <c r="CL11" s="320">
        <f t="shared" si="53"/>
        <v>0</v>
      </c>
      <c r="CM11" s="320">
        <f t="shared" si="41"/>
        <v>0</v>
      </c>
      <c r="CN11" s="320">
        <f t="shared" si="42"/>
        <v>0</v>
      </c>
      <c r="CO11" s="320">
        <f t="shared" si="43"/>
        <v>0</v>
      </c>
      <c r="CP11" s="427"/>
      <c r="CQ11" s="427"/>
      <c r="CR11" s="320">
        <f t="shared" si="44"/>
        <v>0</v>
      </c>
      <c r="CS11" s="320">
        <f t="shared" si="45"/>
        <v>0</v>
      </c>
      <c r="CT11" s="320">
        <f t="shared" si="46"/>
        <v>0</v>
      </c>
      <c r="CU11" s="320">
        <f t="shared" si="54"/>
        <v>0</v>
      </c>
      <c r="CV11" s="427"/>
      <c r="CW11" s="17"/>
      <c r="CX11" s="320">
        <f t="shared" si="47"/>
        <v>0</v>
      </c>
      <c r="CY11" s="320">
        <f t="shared" si="48"/>
        <v>0</v>
      </c>
      <c r="CZ11" s="320">
        <f t="shared" si="49"/>
        <v>0</v>
      </c>
      <c r="DA11" s="17"/>
      <c r="DB11" s="17"/>
      <c r="DC11" s="17"/>
      <c r="DD11" s="31"/>
      <c r="DE11" s="323"/>
      <c r="DF11" s="323"/>
      <c r="DG11" s="323"/>
      <c r="DH11" s="323"/>
      <c r="DI11" s="323"/>
      <c r="DJ11" s="323"/>
      <c r="DK11" s="323"/>
      <c r="DL11" s="323"/>
      <c r="DM11" s="323"/>
      <c r="DN11" s="323"/>
      <c r="DO11" s="323"/>
      <c r="DP11" s="324"/>
      <c r="DQ11" s="288"/>
      <c r="DR11" s="242"/>
      <c r="DS11" s="429">
        <f t="shared" si="50"/>
        <v>0</v>
      </c>
      <c r="DT11" s="438"/>
      <c r="DU11" s="59"/>
      <c r="DV11" s="59"/>
      <c r="DW11" s="59"/>
      <c r="DX11" s="59"/>
      <c r="DY11" s="59"/>
      <c r="DZ11" s="134"/>
      <c r="EA11" s="134"/>
      <c r="EB11" s="134"/>
      <c r="EC11" s="134"/>
      <c r="ED11" s="123"/>
      <c r="EH11" s="44">
        <v>0</v>
      </c>
      <c r="EI11" s="45"/>
      <c r="EJ11" s="33" t="b">
        <f t="shared" si="51"/>
        <v>0</v>
      </c>
      <c r="EK11" s="42"/>
      <c r="EL11" s="42"/>
      <c r="EM11" s="42"/>
      <c r="EN11" s="439"/>
      <c r="EO11" s="439"/>
      <c r="EP11" s="439"/>
      <c r="EQ11" s="38"/>
      <c r="ER11" s="431"/>
      <c r="ES11" s="440"/>
      <c r="ET11" s="431" t="s">
        <v>666</v>
      </c>
      <c r="EU11" s="440"/>
      <c r="EV11" s="440"/>
      <c r="EZ11" s="393" t="s">
        <v>18</v>
      </c>
      <c r="FA11" s="393" t="s">
        <v>18</v>
      </c>
      <c r="FB11" s="389">
        <v>0.42</v>
      </c>
      <c r="FC11" s="389">
        <v>10</v>
      </c>
      <c r="FD11" s="389">
        <v>9.8000000000000007</v>
      </c>
      <c r="FE11" s="389">
        <v>9.8000000000000007</v>
      </c>
      <c r="FF11" s="389">
        <v>9.8000000000000007</v>
      </c>
      <c r="FG11" s="390">
        <v>-3.9999999999999853E-3</v>
      </c>
      <c r="FH11" s="390">
        <v>0</v>
      </c>
      <c r="FI11" s="390">
        <v>0</v>
      </c>
      <c r="FJ11" s="391">
        <v>0</v>
      </c>
      <c r="FK11" s="391" t="s">
        <v>1386</v>
      </c>
      <c r="FL11" s="31" t="s">
        <v>1387</v>
      </c>
      <c r="FN11" s="128" t="s">
        <v>1408</v>
      </c>
      <c r="FO11" s="128" t="s">
        <v>1409</v>
      </c>
      <c r="FP11" s="128"/>
    </row>
    <row r="12" spans="1:179" ht="22" hidden="1" customHeight="1" x14ac:dyDescent="0.2">
      <c r="A12" s="13" t="s">
        <v>16</v>
      </c>
      <c r="B12" s="19" t="s">
        <v>19</v>
      </c>
      <c r="C12" s="19"/>
      <c r="D12" s="19"/>
      <c r="E12" s="128" t="s">
        <v>20</v>
      </c>
      <c r="F12" s="15" t="s">
        <v>637</v>
      </c>
      <c r="G12" s="15" t="s">
        <v>634</v>
      </c>
      <c r="H12" s="95">
        <f t="shared" si="0"/>
        <v>1</v>
      </c>
      <c r="I12" s="95">
        <f t="shared" si="1"/>
        <v>2</v>
      </c>
      <c r="J12" s="95"/>
      <c r="K12" s="256">
        <f t="shared" si="2"/>
        <v>3</v>
      </c>
      <c r="L12" s="278" t="s">
        <v>640</v>
      </c>
      <c r="M12" s="25"/>
      <c r="N12" s="443">
        <v>1000000</v>
      </c>
      <c r="O12" s="144" t="str">
        <f t="shared" si="3"/>
        <v>_x000D__x000D_</v>
      </c>
      <c r="P12" s="144" t="str">
        <f>CONCATENATE(V12,R12,X12)</f>
        <v>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systems._x000D_Moreover,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plantations._x000D__x000D_The promotion of biodiversity conservation and Adaptation based on ecosystems.</v>
      </c>
      <c r="Q12" s="425"/>
      <c r="R12" s="64" t="s">
        <v>918</v>
      </c>
      <c r="S12" s="64"/>
      <c r="T12" s="300" t="s">
        <v>925</v>
      </c>
      <c r="U12" s="301" t="s">
        <v>925</v>
      </c>
      <c r="V12" s="300" t="s">
        <v>1062</v>
      </c>
      <c r="W12" s="258"/>
      <c r="X12" s="308" t="s">
        <v>1063</v>
      </c>
      <c r="Y12" s="274"/>
      <c r="Z12" s="426">
        <v>0</v>
      </c>
      <c r="AA12" s="320">
        <f t="shared" si="4"/>
        <v>0</v>
      </c>
      <c r="AB12" s="320">
        <f t="shared" si="5"/>
        <v>0</v>
      </c>
      <c r="AC12" s="320">
        <f t="shared" si="6"/>
        <v>0</v>
      </c>
      <c r="AD12" s="320">
        <f t="shared" si="7"/>
        <v>0</v>
      </c>
      <c r="AE12" s="320">
        <f t="shared" si="8"/>
        <v>0</v>
      </c>
      <c r="AF12" s="320">
        <f t="shared" si="9"/>
        <v>0</v>
      </c>
      <c r="AG12" s="320">
        <f t="shared" si="10"/>
        <v>0</v>
      </c>
      <c r="AH12" s="427" t="s">
        <v>221</v>
      </c>
      <c r="AI12" s="320">
        <f t="shared" si="11"/>
        <v>1</v>
      </c>
      <c r="AJ12" s="320">
        <f t="shared" si="12"/>
        <v>1</v>
      </c>
      <c r="AK12" s="320">
        <f t="shared" si="13"/>
        <v>0</v>
      </c>
      <c r="AL12" s="320">
        <f t="shared" si="14"/>
        <v>0</v>
      </c>
      <c r="AM12" s="320">
        <f t="shared" si="15"/>
        <v>0</v>
      </c>
      <c r="AN12" s="320">
        <f t="shared" si="16"/>
        <v>0</v>
      </c>
      <c r="AO12" s="427">
        <v>0</v>
      </c>
      <c r="AP12" s="320">
        <f t="shared" si="17"/>
        <v>0</v>
      </c>
      <c r="AQ12" s="320">
        <f t="shared" si="18"/>
        <v>0</v>
      </c>
      <c r="AR12" s="320">
        <f t="shared" si="19"/>
        <v>0</v>
      </c>
      <c r="AS12" s="320">
        <f t="shared" si="20"/>
        <v>0</v>
      </c>
      <c r="AT12" s="320">
        <f t="shared" si="21"/>
        <v>0</v>
      </c>
      <c r="AU12" s="320">
        <f t="shared" si="22"/>
        <v>0</v>
      </c>
      <c r="AV12" s="427">
        <v>0</v>
      </c>
      <c r="AW12" s="320">
        <f t="shared" si="23"/>
        <v>0</v>
      </c>
      <c r="AX12" s="320">
        <f t="shared" si="24"/>
        <v>0</v>
      </c>
      <c r="AY12" s="320">
        <f t="shared" si="25"/>
        <v>0</v>
      </c>
      <c r="AZ12" s="320">
        <f t="shared" si="26"/>
        <v>0</v>
      </c>
      <c r="BA12" s="17">
        <v>0</v>
      </c>
      <c r="BB12" s="17" t="s">
        <v>834</v>
      </c>
      <c r="BC12" s="17">
        <v>0</v>
      </c>
      <c r="BD12" s="17">
        <v>0</v>
      </c>
      <c r="BE12" s="17">
        <v>0</v>
      </c>
      <c r="BF12" s="17">
        <v>0</v>
      </c>
      <c r="BG12" s="428">
        <f t="shared" si="52"/>
        <v>0</v>
      </c>
      <c r="BH12" s="17"/>
      <c r="BI12" s="17">
        <v>0</v>
      </c>
      <c r="BJ12" s="17" t="s">
        <v>834</v>
      </c>
      <c r="BK12" s="17"/>
      <c r="BL12" s="17">
        <v>0</v>
      </c>
      <c r="BM12" s="17" t="s">
        <v>834</v>
      </c>
      <c r="BN12" s="320">
        <f t="shared" si="27"/>
        <v>0</v>
      </c>
      <c r="BO12" s="320">
        <f t="shared" si="28"/>
        <v>0</v>
      </c>
      <c r="BP12" s="427">
        <v>0</v>
      </c>
      <c r="BQ12" s="427" t="s">
        <v>834</v>
      </c>
      <c r="BR12" s="320">
        <f t="shared" si="29"/>
        <v>0</v>
      </c>
      <c r="BS12" s="320">
        <f t="shared" si="29"/>
        <v>0</v>
      </c>
      <c r="BT12" s="427">
        <v>0</v>
      </c>
      <c r="BU12" s="320">
        <f t="shared" si="30"/>
        <v>0</v>
      </c>
      <c r="BV12" s="320">
        <f t="shared" si="31"/>
        <v>0</v>
      </c>
      <c r="BW12" s="320">
        <f t="shared" si="32"/>
        <v>0</v>
      </c>
      <c r="BX12" s="427">
        <v>1</v>
      </c>
      <c r="BY12" s="320">
        <f t="shared" si="33"/>
        <v>1</v>
      </c>
      <c r="BZ12" s="320">
        <f t="shared" si="34"/>
        <v>0</v>
      </c>
      <c r="CA12" s="320">
        <f t="shared" si="35"/>
        <v>0</v>
      </c>
      <c r="CB12" s="320">
        <f t="shared" si="36"/>
        <v>0</v>
      </c>
      <c r="CC12" s="427">
        <v>1</v>
      </c>
      <c r="CD12" s="320">
        <f t="shared" si="37"/>
        <v>1</v>
      </c>
      <c r="CE12" s="320">
        <f t="shared" si="38"/>
        <v>0</v>
      </c>
      <c r="CF12" s="320">
        <f t="shared" si="39"/>
        <v>0</v>
      </c>
      <c r="CG12" s="320">
        <f t="shared" si="40"/>
        <v>0</v>
      </c>
      <c r="CH12" s="427">
        <v>0</v>
      </c>
      <c r="CI12" s="427">
        <v>0</v>
      </c>
      <c r="CJ12" s="427">
        <v>0</v>
      </c>
      <c r="CK12" s="427">
        <v>0</v>
      </c>
      <c r="CL12" s="320">
        <f t="shared" si="53"/>
        <v>0</v>
      </c>
      <c r="CM12" s="320">
        <f t="shared" si="41"/>
        <v>0</v>
      </c>
      <c r="CN12" s="320">
        <f t="shared" si="42"/>
        <v>0</v>
      </c>
      <c r="CO12" s="320">
        <f t="shared" si="43"/>
        <v>0</v>
      </c>
      <c r="CP12" s="427">
        <v>0</v>
      </c>
      <c r="CQ12" s="427">
        <v>0</v>
      </c>
      <c r="CR12" s="320">
        <f t="shared" si="44"/>
        <v>0</v>
      </c>
      <c r="CS12" s="320">
        <f t="shared" si="45"/>
        <v>0</v>
      </c>
      <c r="CT12" s="320">
        <f t="shared" si="46"/>
        <v>0</v>
      </c>
      <c r="CU12" s="320">
        <f t="shared" si="54"/>
        <v>0</v>
      </c>
      <c r="CV12" s="427">
        <v>1</v>
      </c>
      <c r="CW12" s="17">
        <v>0</v>
      </c>
      <c r="CX12" s="320">
        <f t="shared" si="47"/>
        <v>0</v>
      </c>
      <c r="CY12" s="320">
        <f t="shared" si="48"/>
        <v>0</v>
      </c>
      <c r="CZ12" s="320">
        <f t="shared" si="49"/>
        <v>0</v>
      </c>
      <c r="DA12" s="17">
        <v>0</v>
      </c>
      <c r="DB12" s="17">
        <v>0</v>
      </c>
      <c r="DC12" s="17">
        <v>1</v>
      </c>
      <c r="DD12" s="31"/>
      <c r="DE12" s="321" t="s">
        <v>387</v>
      </c>
      <c r="DF12" s="321" t="s">
        <v>388</v>
      </c>
      <c r="DG12" s="321" t="s">
        <v>388</v>
      </c>
      <c r="DH12" s="321" t="s">
        <v>387</v>
      </c>
      <c r="DI12" s="321"/>
      <c r="DJ12" s="321" t="s">
        <v>388</v>
      </c>
      <c r="DK12" s="321" t="s">
        <v>389</v>
      </c>
      <c r="DL12" s="321" t="s">
        <v>390</v>
      </c>
      <c r="DM12" s="321" t="s">
        <v>391</v>
      </c>
      <c r="DN12" s="325">
        <v>0.21</v>
      </c>
      <c r="DO12" s="321" t="s">
        <v>388</v>
      </c>
      <c r="DP12" s="322"/>
      <c r="DQ12" s="289"/>
      <c r="DR12" s="240">
        <f>SUM(DS12:DX12)/6</f>
        <v>8.3937198067632848E-2</v>
      </c>
      <c r="DS12" s="429">
        <f t="shared" si="50"/>
        <v>8.6956521739130432E-2</v>
      </c>
      <c r="DT12" s="429">
        <f>SUM(BA12:BE12,BG12)/5</f>
        <v>0</v>
      </c>
      <c r="DU12" s="429">
        <f>SUM(BI12,BO12,BS12,BU12:BW12)/6</f>
        <v>0</v>
      </c>
      <c r="DV12" s="429">
        <f>SUM(BY12-CB12,CD12-CG12)/8</f>
        <v>0.25</v>
      </c>
      <c r="DW12" s="429">
        <f>SUM(CH12:CJ12,CL12:CO12,BN12,BR12)/9</f>
        <v>0</v>
      </c>
      <c r="DX12" s="429">
        <f>SUM(CP12,CR12:CV12)/6</f>
        <v>0.16666666666666666</v>
      </c>
      <c r="DY12" s="444"/>
      <c r="DZ12" s="140" t="s">
        <v>685</v>
      </c>
      <c r="EA12" s="140" t="s">
        <v>686</v>
      </c>
      <c r="EB12" s="140" t="s">
        <v>787</v>
      </c>
      <c r="EC12" s="140" t="s">
        <v>783</v>
      </c>
      <c r="ED12" s="124">
        <v>1</v>
      </c>
      <c r="EH12" s="44">
        <v>2</v>
      </c>
      <c r="EI12" s="45"/>
      <c r="EJ12" s="33" t="e">
        <f t="shared" si="51"/>
        <v>#VALUE!</v>
      </c>
      <c r="EK12" s="42"/>
      <c r="EL12" s="42"/>
      <c r="EM12" s="42"/>
      <c r="EN12" s="439"/>
      <c r="EO12" s="439"/>
      <c r="EP12" s="439"/>
      <c r="EQ12" s="38"/>
      <c r="ER12" s="431"/>
      <c r="ES12" s="440"/>
      <c r="ET12" s="431"/>
      <c r="EU12" s="440"/>
      <c r="EV12" s="440"/>
      <c r="EZ12" s="393" t="s">
        <v>20</v>
      </c>
      <c r="FA12" s="393" t="s">
        <v>20</v>
      </c>
      <c r="FB12" s="389">
        <v>0.42</v>
      </c>
      <c r="FC12" s="389">
        <v>31860</v>
      </c>
      <c r="FD12" s="389">
        <v>30186</v>
      </c>
      <c r="FE12" s="389">
        <v>28596</v>
      </c>
      <c r="FF12" s="389">
        <v>27112</v>
      </c>
      <c r="FG12" s="390">
        <v>-1.0508474576271186E-2</v>
      </c>
      <c r="FH12" s="390">
        <v>-1.0534684953289604E-2</v>
      </c>
      <c r="FI12" s="390">
        <v>-1.0379073996363128E-2</v>
      </c>
      <c r="FJ12" s="391">
        <v>-1.477129668485096E-2</v>
      </c>
      <c r="FK12" s="391" t="s">
        <v>1386</v>
      </c>
      <c r="FL12" s="31" t="s">
        <v>1391</v>
      </c>
      <c r="FN12" s="128" t="s">
        <v>1410</v>
      </c>
      <c r="FO12" s="128" t="s">
        <v>1411</v>
      </c>
      <c r="FP12" s="128"/>
    </row>
    <row r="13" spans="1:179" ht="22" hidden="1" customHeight="1" x14ac:dyDescent="0.2">
      <c r="A13" s="13" t="s">
        <v>4</v>
      </c>
      <c r="B13" s="14" t="s">
        <v>21</v>
      </c>
      <c r="C13" s="14"/>
      <c r="D13" s="14"/>
      <c r="E13" s="128" t="s">
        <v>22</v>
      </c>
      <c r="F13" s="15"/>
      <c r="G13" s="15" t="s">
        <v>634</v>
      </c>
      <c r="H13" s="95">
        <f t="shared" si="0"/>
        <v>1</v>
      </c>
      <c r="I13" s="95">
        <f t="shared" si="1"/>
        <v>0</v>
      </c>
      <c r="J13" s="95"/>
      <c r="K13" s="256">
        <f t="shared" si="2"/>
        <v>1</v>
      </c>
      <c r="L13" s="278">
        <v>0</v>
      </c>
      <c r="M13" s="25"/>
      <c r="N13" s="89"/>
      <c r="O13" s="144" t="str">
        <f t="shared" si="3"/>
        <v>_x000D__x000D_</v>
      </c>
      <c r="P13" s="144"/>
      <c r="Q13" s="64"/>
      <c r="R13" s="64" t="s">
        <v>918</v>
      </c>
      <c r="S13" s="425"/>
      <c r="T13" s="300" t="s">
        <v>834</v>
      </c>
      <c r="U13" s="301" t="s">
        <v>834</v>
      </c>
      <c r="V13" s="301" t="s">
        <v>834</v>
      </c>
      <c r="W13" s="258"/>
      <c r="X13" s="307" t="s">
        <v>834</v>
      </c>
      <c r="Y13" s="274"/>
      <c r="Z13" s="426"/>
      <c r="AA13" s="320">
        <f t="shared" si="4"/>
        <v>0</v>
      </c>
      <c r="AB13" s="320">
        <f t="shared" si="5"/>
        <v>0</v>
      </c>
      <c r="AC13" s="320">
        <f t="shared" si="6"/>
        <v>0</v>
      </c>
      <c r="AD13" s="320">
        <f t="shared" si="7"/>
        <v>0</v>
      </c>
      <c r="AE13" s="320">
        <f t="shared" si="8"/>
        <v>0</v>
      </c>
      <c r="AF13" s="320">
        <f t="shared" si="9"/>
        <v>0</v>
      </c>
      <c r="AG13" s="320">
        <f t="shared" si="10"/>
        <v>0</v>
      </c>
      <c r="AH13" s="427"/>
      <c r="AI13" s="320">
        <f t="shared" si="11"/>
        <v>0</v>
      </c>
      <c r="AJ13" s="320">
        <f t="shared" si="12"/>
        <v>0</v>
      </c>
      <c r="AK13" s="320">
        <f t="shared" si="13"/>
        <v>0</v>
      </c>
      <c r="AL13" s="320">
        <f t="shared" si="14"/>
        <v>0</v>
      </c>
      <c r="AM13" s="320">
        <f t="shared" si="15"/>
        <v>0</v>
      </c>
      <c r="AN13" s="320">
        <f t="shared" si="16"/>
        <v>0</v>
      </c>
      <c r="AO13" s="427"/>
      <c r="AP13" s="320">
        <f t="shared" si="17"/>
        <v>0</v>
      </c>
      <c r="AQ13" s="320">
        <f t="shared" si="18"/>
        <v>0</v>
      </c>
      <c r="AR13" s="320">
        <f t="shared" si="19"/>
        <v>0</v>
      </c>
      <c r="AS13" s="320">
        <f t="shared" si="20"/>
        <v>0</v>
      </c>
      <c r="AT13" s="320">
        <f t="shared" si="21"/>
        <v>0</v>
      </c>
      <c r="AU13" s="320">
        <f t="shared" si="22"/>
        <v>0</v>
      </c>
      <c r="AV13" s="427"/>
      <c r="AW13" s="320">
        <f t="shared" si="23"/>
        <v>0</v>
      </c>
      <c r="AX13" s="320">
        <f t="shared" si="24"/>
        <v>0</v>
      </c>
      <c r="AY13" s="320">
        <f t="shared" si="25"/>
        <v>0</v>
      </c>
      <c r="AZ13" s="320">
        <f t="shared" si="26"/>
        <v>0</v>
      </c>
      <c r="BA13" s="17"/>
      <c r="BB13" s="17" t="s">
        <v>834</v>
      </c>
      <c r="BC13" s="17"/>
      <c r="BD13" s="17"/>
      <c r="BE13" s="17"/>
      <c r="BF13" s="17"/>
      <c r="BG13" s="428">
        <f t="shared" si="52"/>
        <v>0</v>
      </c>
      <c r="BH13" s="17"/>
      <c r="BI13" s="17"/>
      <c r="BJ13" s="17"/>
      <c r="BK13" s="17"/>
      <c r="BL13" s="17"/>
      <c r="BM13" s="17"/>
      <c r="BN13" s="320">
        <f t="shared" si="27"/>
        <v>0</v>
      </c>
      <c r="BO13" s="320">
        <f t="shared" si="28"/>
        <v>0</v>
      </c>
      <c r="BP13" s="427"/>
      <c r="BQ13" s="427"/>
      <c r="BR13" s="320">
        <f t="shared" si="29"/>
        <v>0</v>
      </c>
      <c r="BS13" s="320">
        <f t="shared" si="29"/>
        <v>0</v>
      </c>
      <c r="BT13" s="427"/>
      <c r="BU13" s="320">
        <f t="shared" si="30"/>
        <v>0</v>
      </c>
      <c r="BV13" s="320">
        <f t="shared" si="31"/>
        <v>0</v>
      </c>
      <c r="BW13" s="320">
        <f t="shared" si="32"/>
        <v>0</v>
      </c>
      <c r="BX13" s="427"/>
      <c r="BY13" s="320">
        <f t="shared" si="33"/>
        <v>0</v>
      </c>
      <c r="BZ13" s="320">
        <f t="shared" si="34"/>
        <v>0</v>
      </c>
      <c r="CA13" s="320">
        <f t="shared" si="35"/>
        <v>0</v>
      </c>
      <c r="CB13" s="320">
        <f t="shared" si="36"/>
        <v>0</v>
      </c>
      <c r="CC13" s="427"/>
      <c r="CD13" s="320">
        <f t="shared" si="37"/>
        <v>0</v>
      </c>
      <c r="CE13" s="320">
        <f t="shared" si="38"/>
        <v>0</v>
      </c>
      <c r="CF13" s="320">
        <f t="shared" si="39"/>
        <v>0</v>
      </c>
      <c r="CG13" s="320">
        <f t="shared" si="40"/>
        <v>0</v>
      </c>
      <c r="CH13" s="427"/>
      <c r="CI13" s="427"/>
      <c r="CJ13" s="427"/>
      <c r="CK13" s="427"/>
      <c r="CL13" s="320">
        <f t="shared" si="53"/>
        <v>0</v>
      </c>
      <c r="CM13" s="320">
        <f t="shared" si="41"/>
        <v>0</v>
      </c>
      <c r="CN13" s="320">
        <f t="shared" si="42"/>
        <v>0</v>
      </c>
      <c r="CO13" s="320">
        <f t="shared" si="43"/>
        <v>0</v>
      </c>
      <c r="CP13" s="427"/>
      <c r="CQ13" s="427"/>
      <c r="CR13" s="320">
        <f t="shared" si="44"/>
        <v>0</v>
      </c>
      <c r="CS13" s="320">
        <f t="shared" si="45"/>
        <v>0</v>
      </c>
      <c r="CT13" s="320">
        <f t="shared" si="46"/>
        <v>0</v>
      </c>
      <c r="CU13" s="320">
        <f t="shared" si="54"/>
        <v>0</v>
      </c>
      <c r="CV13" s="427"/>
      <c r="CW13" s="17"/>
      <c r="CX13" s="320">
        <f t="shared" si="47"/>
        <v>0</v>
      </c>
      <c r="CY13" s="320">
        <f t="shared" si="48"/>
        <v>0</v>
      </c>
      <c r="CZ13" s="320">
        <f t="shared" si="49"/>
        <v>0</v>
      </c>
      <c r="DA13" s="17"/>
      <c r="DB13" s="17"/>
      <c r="DC13" s="17"/>
      <c r="DD13" s="31"/>
      <c r="DE13" s="323"/>
      <c r="DF13" s="323"/>
      <c r="DG13" s="323"/>
      <c r="DH13" s="323"/>
      <c r="DI13" s="323"/>
      <c r="DJ13" s="323"/>
      <c r="DK13" s="323"/>
      <c r="DL13" s="323"/>
      <c r="DM13" s="323"/>
      <c r="DN13" s="323"/>
      <c r="DO13" s="323"/>
      <c r="DP13" s="324"/>
      <c r="DQ13" s="288"/>
      <c r="DR13" s="242"/>
      <c r="DS13" s="429">
        <f t="shared" si="50"/>
        <v>0</v>
      </c>
      <c r="DT13" s="438"/>
      <c r="DU13" s="59"/>
      <c r="DV13" s="59"/>
      <c r="DW13" s="59"/>
      <c r="DX13" s="59"/>
      <c r="DY13" s="59"/>
      <c r="DZ13" s="134"/>
      <c r="EA13" s="134"/>
      <c r="EB13" s="134"/>
      <c r="EC13" s="134"/>
      <c r="ED13" s="123"/>
      <c r="EH13" s="46">
        <v>0</v>
      </c>
      <c r="EI13" s="45"/>
      <c r="EJ13" s="33" t="b">
        <f t="shared" si="51"/>
        <v>0</v>
      </c>
      <c r="EK13" s="42"/>
      <c r="EL13" s="42"/>
      <c r="EM13" s="42"/>
      <c r="EN13" s="439"/>
      <c r="EO13" s="439"/>
      <c r="EP13" s="439"/>
      <c r="EQ13" s="47"/>
      <c r="ER13" s="431">
        <v>0</v>
      </c>
      <c r="ES13" s="440"/>
      <c r="ET13" s="431"/>
      <c r="EU13" s="440"/>
      <c r="EV13" s="440"/>
      <c r="EZ13" s="393" t="s">
        <v>22</v>
      </c>
      <c r="FA13" s="393" t="s">
        <v>22</v>
      </c>
      <c r="FB13" s="389">
        <v>0.42</v>
      </c>
      <c r="FC13" s="389">
        <v>333</v>
      </c>
      <c r="FD13" s="389">
        <v>332</v>
      </c>
      <c r="FE13" s="389">
        <v>331</v>
      </c>
      <c r="FF13" s="389">
        <v>332</v>
      </c>
      <c r="FG13" s="390">
        <v>-6.0060060060060057E-4</v>
      </c>
      <c r="FH13" s="390">
        <v>-6.0240963855421692E-4</v>
      </c>
      <c r="FI13" s="390">
        <v>6.0422960725075529E-4</v>
      </c>
      <c r="FJ13" s="391">
        <v>-2.0030211480362534</v>
      </c>
      <c r="FK13" s="391" t="s">
        <v>1386</v>
      </c>
      <c r="FL13" s="31" t="s">
        <v>1393</v>
      </c>
      <c r="FN13" s="128" t="s">
        <v>1412</v>
      </c>
      <c r="FO13" s="128" t="s">
        <v>1413</v>
      </c>
      <c r="FP13" s="128"/>
    </row>
    <row r="14" spans="1:179" ht="22" hidden="1" customHeight="1" x14ac:dyDescent="0.2">
      <c r="A14" s="13" t="s">
        <v>16</v>
      </c>
      <c r="B14" s="19" t="s">
        <v>17</v>
      </c>
      <c r="C14" s="19"/>
      <c r="D14" s="19"/>
      <c r="E14" s="128" t="s">
        <v>23</v>
      </c>
      <c r="F14" s="15"/>
      <c r="G14" s="15" t="s">
        <v>634</v>
      </c>
      <c r="H14" s="95">
        <f t="shared" si="0"/>
        <v>1</v>
      </c>
      <c r="I14" s="95">
        <f t="shared" si="1"/>
        <v>0</v>
      </c>
      <c r="J14" s="95"/>
      <c r="K14" s="256">
        <f t="shared" si="2"/>
        <v>1</v>
      </c>
      <c r="L14" s="278">
        <v>0</v>
      </c>
      <c r="M14" s="25"/>
      <c r="N14" s="89"/>
      <c r="O14" s="144" t="str">
        <f t="shared" si="3"/>
        <v>_x000D__x000D_</v>
      </c>
      <c r="P14" s="144"/>
      <c r="Q14" s="425"/>
      <c r="R14" s="64" t="s">
        <v>918</v>
      </c>
      <c r="S14" s="425"/>
      <c r="T14" s="300" t="s">
        <v>834</v>
      </c>
      <c r="U14" s="301" t="s">
        <v>834</v>
      </c>
      <c r="V14" s="301" t="s">
        <v>834</v>
      </c>
      <c r="W14" s="258"/>
      <c r="X14" s="307" t="s">
        <v>834</v>
      </c>
      <c r="Y14" s="274"/>
      <c r="Z14" s="426"/>
      <c r="AA14" s="320">
        <f t="shared" si="4"/>
        <v>0</v>
      </c>
      <c r="AB14" s="320">
        <f t="shared" si="5"/>
        <v>0</v>
      </c>
      <c r="AC14" s="320">
        <f t="shared" si="6"/>
        <v>0</v>
      </c>
      <c r="AD14" s="320">
        <f t="shared" si="7"/>
        <v>0</v>
      </c>
      <c r="AE14" s="320">
        <f t="shared" si="8"/>
        <v>0</v>
      </c>
      <c r="AF14" s="320">
        <f t="shared" si="9"/>
        <v>0</v>
      </c>
      <c r="AG14" s="320">
        <f t="shared" si="10"/>
        <v>0</v>
      </c>
      <c r="AH14" s="427"/>
      <c r="AI14" s="320">
        <f t="shared" si="11"/>
        <v>0</v>
      </c>
      <c r="AJ14" s="320">
        <f t="shared" si="12"/>
        <v>0</v>
      </c>
      <c r="AK14" s="320">
        <f t="shared" si="13"/>
        <v>0</v>
      </c>
      <c r="AL14" s="320">
        <f t="shared" si="14"/>
        <v>0</v>
      </c>
      <c r="AM14" s="320">
        <f t="shared" si="15"/>
        <v>0</v>
      </c>
      <c r="AN14" s="320">
        <f t="shared" si="16"/>
        <v>0</v>
      </c>
      <c r="AO14" s="427"/>
      <c r="AP14" s="320">
        <f t="shared" si="17"/>
        <v>0</v>
      </c>
      <c r="AQ14" s="320">
        <f t="shared" si="18"/>
        <v>0</v>
      </c>
      <c r="AR14" s="320">
        <f t="shared" si="19"/>
        <v>0</v>
      </c>
      <c r="AS14" s="320">
        <f t="shared" si="20"/>
        <v>0</v>
      </c>
      <c r="AT14" s="320">
        <f t="shared" si="21"/>
        <v>0</v>
      </c>
      <c r="AU14" s="320">
        <f t="shared" si="22"/>
        <v>0</v>
      </c>
      <c r="AV14" s="427"/>
      <c r="AW14" s="320">
        <f t="shared" si="23"/>
        <v>0</v>
      </c>
      <c r="AX14" s="320">
        <f t="shared" si="24"/>
        <v>0</v>
      </c>
      <c r="AY14" s="320">
        <f t="shared" si="25"/>
        <v>0</v>
      </c>
      <c r="AZ14" s="320">
        <f t="shared" si="26"/>
        <v>0</v>
      </c>
      <c r="BA14" s="17"/>
      <c r="BB14" s="17" t="s">
        <v>834</v>
      </c>
      <c r="BC14" s="17"/>
      <c r="BD14" s="17"/>
      <c r="BE14" s="17"/>
      <c r="BF14" s="17"/>
      <c r="BG14" s="428">
        <f t="shared" si="52"/>
        <v>0</v>
      </c>
      <c r="BH14" s="17"/>
      <c r="BI14" s="17"/>
      <c r="BJ14" s="17"/>
      <c r="BK14" s="17"/>
      <c r="BL14" s="17"/>
      <c r="BM14" s="17"/>
      <c r="BN14" s="320">
        <f t="shared" si="27"/>
        <v>0</v>
      </c>
      <c r="BO14" s="320">
        <f t="shared" si="28"/>
        <v>0</v>
      </c>
      <c r="BP14" s="427"/>
      <c r="BQ14" s="427"/>
      <c r="BR14" s="320">
        <f t="shared" si="29"/>
        <v>0</v>
      </c>
      <c r="BS14" s="320">
        <f t="shared" si="29"/>
        <v>0</v>
      </c>
      <c r="BT14" s="427"/>
      <c r="BU14" s="320">
        <f t="shared" si="30"/>
        <v>0</v>
      </c>
      <c r="BV14" s="320">
        <f t="shared" si="31"/>
        <v>0</v>
      </c>
      <c r="BW14" s="320">
        <f t="shared" si="32"/>
        <v>0</v>
      </c>
      <c r="BX14" s="427"/>
      <c r="BY14" s="320">
        <f t="shared" si="33"/>
        <v>0</v>
      </c>
      <c r="BZ14" s="320">
        <f t="shared" si="34"/>
        <v>0</v>
      </c>
      <c r="CA14" s="320">
        <f t="shared" si="35"/>
        <v>0</v>
      </c>
      <c r="CB14" s="320">
        <f t="shared" si="36"/>
        <v>0</v>
      </c>
      <c r="CC14" s="427"/>
      <c r="CD14" s="320">
        <f t="shared" si="37"/>
        <v>0</v>
      </c>
      <c r="CE14" s="320">
        <f t="shared" si="38"/>
        <v>0</v>
      </c>
      <c r="CF14" s="320">
        <f t="shared" si="39"/>
        <v>0</v>
      </c>
      <c r="CG14" s="320">
        <f t="shared" si="40"/>
        <v>0</v>
      </c>
      <c r="CH14" s="427"/>
      <c r="CI14" s="427"/>
      <c r="CJ14" s="427"/>
      <c r="CK14" s="427"/>
      <c r="CL14" s="320">
        <f t="shared" si="53"/>
        <v>0</v>
      </c>
      <c r="CM14" s="320">
        <f t="shared" si="41"/>
        <v>0</v>
      </c>
      <c r="CN14" s="320">
        <f t="shared" si="42"/>
        <v>0</v>
      </c>
      <c r="CO14" s="320">
        <f t="shared" si="43"/>
        <v>0</v>
      </c>
      <c r="CP14" s="427"/>
      <c r="CQ14" s="427"/>
      <c r="CR14" s="320">
        <f t="shared" si="44"/>
        <v>0</v>
      </c>
      <c r="CS14" s="320">
        <f t="shared" si="45"/>
        <v>0</v>
      </c>
      <c r="CT14" s="320">
        <f t="shared" si="46"/>
        <v>0</v>
      </c>
      <c r="CU14" s="320">
        <f t="shared" si="54"/>
        <v>0</v>
      </c>
      <c r="CV14" s="427"/>
      <c r="CW14" s="17"/>
      <c r="CX14" s="320">
        <f t="shared" si="47"/>
        <v>0</v>
      </c>
      <c r="CY14" s="320">
        <f t="shared" si="48"/>
        <v>0</v>
      </c>
      <c r="CZ14" s="320">
        <f t="shared" si="49"/>
        <v>0</v>
      </c>
      <c r="DA14" s="17"/>
      <c r="DB14" s="17"/>
      <c r="DC14" s="17"/>
      <c r="DD14" s="31"/>
      <c r="DE14" s="321"/>
      <c r="DF14" s="321"/>
      <c r="DG14" s="321"/>
      <c r="DH14" s="321"/>
      <c r="DI14" s="321"/>
      <c r="DJ14" s="321"/>
      <c r="DK14" s="321"/>
      <c r="DL14" s="321"/>
      <c r="DM14" s="321"/>
      <c r="DN14" s="321"/>
      <c r="DO14" s="321"/>
      <c r="DP14" s="322"/>
      <c r="DQ14" s="288"/>
      <c r="DR14" s="241"/>
      <c r="DS14" s="429">
        <f t="shared" si="50"/>
        <v>0</v>
      </c>
      <c r="DT14" s="438"/>
      <c r="DU14" s="59"/>
      <c r="DV14" s="59"/>
      <c r="DW14" s="59"/>
      <c r="DX14" s="59"/>
      <c r="DY14" s="59"/>
      <c r="DZ14" s="134"/>
      <c r="EA14" s="134"/>
      <c r="EB14" s="134"/>
      <c r="EC14" s="134"/>
      <c r="ED14" s="123"/>
      <c r="EH14" s="44">
        <v>2</v>
      </c>
      <c r="EI14" s="45"/>
      <c r="EJ14" s="33" t="b">
        <f t="shared" si="51"/>
        <v>0</v>
      </c>
      <c r="EK14" s="42"/>
      <c r="EL14" s="42"/>
      <c r="EM14" s="42"/>
      <c r="EN14" s="439"/>
      <c r="EO14" s="439"/>
      <c r="EP14" s="439"/>
      <c r="EQ14" s="38"/>
      <c r="ER14" s="431">
        <v>1</v>
      </c>
      <c r="ES14" s="440"/>
      <c r="ET14" s="431"/>
      <c r="EU14" s="440"/>
      <c r="EV14" s="440"/>
      <c r="EZ14" s="393" t="s">
        <v>23</v>
      </c>
      <c r="FA14" s="393" t="s">
        <v>23</v>
      </c>
      <c r="FB14" s="389">
        <v>0.42</v>
      </c>
      <c r="FC14" s="389">
        <v>0.42</v>
      </c>
      <c r="FD14" s="389">
        <v>0.42</v>
      </c>
      <c r="FE14" s="389">
        <v>0.42</v>
      </c>
      <c r="FF14" s="389">
        <v>0.42</v>
      </c>
      <c r="FG14" s="390">
        <v>0</v>
      </c>
      <c r="FH14" s="390">
        <v>0</v>
      </c>
      <c r="FI14" s="390">
        <v>0</v>
      </c>
      <c r="FJ14" s="391">
        <v>0</v>
      </c>
      <c r="FK14" s="391" t="s">
        <v>1386</v>
      </c>
      <c r="FL14" s="31" t="s">
        <v>1387</v>
      </c>
      <c r="FN14" s="128" t="s">
        <v>1414</v>
      </c>
      <c r="FO14" s="128" t="s">
        <v>1415</v>
      </c>
      <c r="FP14" s="128"/>
    </row>
    <row r="15" spans="1:179" ht="22" hidden="1" customHeight="1" x14ac:dyDescent="0.2">
      <c r="A15" s="13" t="s">
        <v>24</v>
      </c>
      <c r="B15" s="14" t="s">
        <v>25</v>
      </c>
      <c r="C15" s="14"/>
      <c r="D15" s="14" t="s">
        <v>1068</v>
      </c>
      <c r="E15" s="128" t="s">
        <v>26</v>
      </c>
      <c r="F15" s="15" t="s">
        <v>638</v>
      </c>
      <c r="G15" s="15" t="s">
        <v>635</v>
      </c>
      <c r="H15" s="95">
        <v>0</v>
      </c>
      <c r="I15" s="95">
        <f t="shared" si="1"/>
        <v>0</v>
      </c>
      <c r="J15" s="95"/>
      <c r="K15" s="256">
        <f t="shared" si="2"/>
        <v>0</v>
      </c>
      <c r="L15" s="278">
        <v>0</v>
      </c>
      <c r="M15" s="25"/>
      <c r="N15" s="89"/>
      <c r="O15" s="144" t="str">
        <f t="shared" si="3"/>
        <v>_x000D__x000D_</v>
      </c>
      <c r="P15" s="144" t="str">
        <f>CONCATENATE(V15,R15,X15)</f>
        <v xml:space="preserve">N/A or not found_x000D__x000D_ </v>
      </c>
      <c r="Q15" s="425"/>
      <c r="R15" s="64" t="s">
        <v>918</v>
      </c>
      <c r="S15" s="425"/>
      <c r="T15" s="300" t="s">
        <v>843</v>
      </c>
      <c r="U15" s="301" t="s">
        <v>909</v>
      </c>
      <c r="V15" s="301" t="s">
        <v>925</v>
      </c>
      <c r="W15" s="258"/>
      <c r="X15" s="307" t="s">
        <v>924</v>
      </c>
      <c r="Y15" s="274"/>
      <c r="Z15" s="426">
        <v>0</v>
      </c>
      <c r="AA15" s="320">
        <f t="shared" si="4"/>
        <v>0</v>
      </c>
      <c r="AB15" s="320">
        <f t="shared" si="5"/>
        <v>0</v>
      </c>
      <c r="AC15" s="320">
        <f t="shared" si="6"/>
        <v>0</v>
      </c>
      <c r="AD15" s="320">
        <f t="shared" si="7"/>
        <v>0</v>
      </c>
      <c r="AE15" s="320">
        <f t="shared" si="8"/>
        <v>0</v>
      </c>
      <c r="AF15" s="320">
        <f t="shared" si="9"/>
        <v>0</v>
      </c>
      <c r="AG15" s="320">
        <f t="shared" si="10"/>
        <v>0</v>
      </c>
      <c r="AH15" s="427">
        <v>1</v>
      </c>
      <c r="AI15" s="320">
        <f t="shared" si="11"/>
        <v>1</v>
      </c>
      <c r="AJ15" s="320">
        <f t="shared" si="12"/>
        <v>0</v>
      </c>
      <c r="AK15" s="320">
        <f t="shared" si="13"/>
        <v>0</v>
      </c>
      <c r="AL15" s="320">
        <f t="shared" si="14"/>
        <v>0</v>
      </c>
      <c r="AM15" s="320">
        <f t="shared" si="15"/>
        <v>0</v>
      </c>
      <c r="AN15" s="320">
        <f t="shared" si="16"/>
        <v>0</v>
      </c>
      <c r="AO15" s="427">
        <v>0</v>
      </c>
      <c r="AP15" s="320">
        <f t="shared" si="17"/>
        <v>0</v>
      </c>
      <c r="AQ15" s="320">
        <f t="shared" si="18"/>
        <v>0</v>
      </c>
      <c r="AR15" s="320">
        <f t="shared" si="19"/>
        <v>0</v>
      </c>
      <c r="AS15" s="320">
        <f t="shared" si="20"/>
        <v>0</v>
      </c>
      <c r="AT15" s="320">
        <f t="shared" si="21"/>
        <v>0</v>
      </c>
      <c r="AU15" s="320">
        <f t="shared" si="22"/>
        <v>0</v>
      </c>
      <c r="AV15" s="427">
        <v>0</v>
      </c>
      <c r="AW15" s="320">
        <f t="shared" si="23"/>
        <v>0</v>
      </c>
      <c r="AX15" s="320">
        <f t="shared" si="24"/>
        <v>0</v>
      </c>
      <c r="AY15" s="320">
        <f t="shared" si="25"/>
        <v>0</v>
      </c>
      <c r="AZ15" s="320">
        <f t="shared" si="26"/>
        <v>0</v>
      </c>
      <c r="BA15" s="17">
        <v>1</v>
      </c>
      <c r="BB15" s="17" t="s">
        <v>843</v>
      </c>
      <c r="BC15" s="17">
        <v>0</v>
      </c>
      <c r="BD15" s="17">
        <v>1</v>
      </c>
      <c r="BE15" s="17">
        <v>0</v>
      </c>
      <c r="BF15" s="17">
        <v>1</v>
      </c>
      <c r="BG15" s="428">
        <f t="shared" si="52"/>
        <v>1</v>
      </c>
      <c r="BH15" s="17">
        <v>1</v>
      </c>
      <c r="BI15" s="17">
        <v>1</v>
      </c>
      <c r="BJ15" s="17" t="s">
        <v>909</v>
      </c>
      <c r="BK15" s="17"/>
      <c r="BL15" s="17">
        <v>1</v>
      </c>
      <c r="BM15" s="17" t="s">
        <v>1195</v>
      </c>
      <c r="BN15" s="320">
        <f t="shared" si="27"/>
        <v>1</v>
      </c>
      <c r="BO15" s="320">
        <f t="shared" si="28"/>
        <v>0</v>
      </c>
      <c r="BP15" s="427">
        <v>1</v>
      </c>
      <c r="BQ15" s="427" t="s">
        <v>1196</v>
      </c>
      <c r="BR15" s="320">
        <f t="shared" si="29"/>
        <v>1</v>
      </c>
      <c r="BS15" s="320">
        <f>IF(ISNUMBER(SEARCH("t",$BP15)),1,0)</f>
        <v>0</v>
      </c>
      <c r="BT15" s="427">
        <v>0</v>
      </c>
      <c r="BU15" s="320">
        <f t="shared" si="30"/>
        <v>0</v>
      </c>
      <c r="BV15" s="320">
        <f t="shared" si="31"/>
        <v>0</v>
      </c>
      <c r="BW15" s="320">
        <f t="shared" si="32"/>
        <v>0</v>
      </c>
      <c r="BX15" s="427" t="s">
        <v>318</v>
      </c>
      <c r="BY15" s="320">
        <f t="shared" si="33"/>
        <v>0</v>
      </c>
      <c r="BZ15" s="320">
        <f t="shared" si="34"/>
        <v>1</v>
      </c>
      <c r="CA15" s="320">
        <f t="shared" si="35"/>
        <v>1</v>
      </c>
      <c r="CB15" s="320">
        <f t="shared" si="36"/>
        <v>0</v>
      </c>
      <c r="CC15" s="427">
        <v>1</v>
      </c>
      <c r="CD15" s="320">
        <f t="shared" si="37"/>
        <v>1</v>
      </c>
      <c r="CE15" s="320">
        <f t="shared" si="38"/>
        <v>0</v>
      </c>
      <c r="CF15" s="320">
        <f t="shared" si="39"/>
        <v>0</v>
      </c>
      <c r="CG15" s="320">
        <f t="shared" si="40"/>
        <v>0</v>
      </c>
      <c r="CH15" s="427">
        <v>0</v>
      </c>
      <c r="CI15" s="427">
        <v>0</v>
      </c>
      <c r="CJ15" s="427">
        <v>0</v>
      </c>
      <c r="CK15" s="427">
        <v>0</v>
      </c>
      <c r="CL15" s="320">
        <f t="shared" si="53"/>
        <v>0</v>
      </c>
      <c r="CM15" s="320">
        <f t="shared" si="41"/>
        <v>0</v>
      </c>
      <c r="CN15" s="320">
        <f t="shared" si="42"/>
        <v>0</v>
      </c>
      <c r="CO15" s="320">
        <f t="shared" si="43"/>
        <v>0</v>
      </c>
      <c r="CP15" s="427">
        <v>1</v>
      </c>
      <c r="CQ15" s="427" t="s">
        <v>317</v>
      </c>
      <c r="CR15" s="320">
        <f t="shared" si="44"/>
        <v>1</v>
      </c>
      <c r="CS15" s="320">
        <f t="shared" si="45"/>
        <v>0</v>
      </c>
      <c r="CT15" s="320">
        <f t="shared" si="46"/>
        <v>1</v>
      </c>
      <c r="CU15" s="320">
        <f t="shared" si="54"/>
        <v>0</v>
      </c>
      <c r="CV15" s="427">
        <v>0</v>
      </c>
      <c r="CW15" s="17">
        <v>4</v>
      </c>
      <c r="CX15" s="320">
        <f t="shared" si="47"/>
        <v>0</v>
      </c>
      <c r="CY15" s="320">
        <f t="shared" si="48"/>
        <v>0</v>
      </c>
      <c r="CZ15" s="320">
        <f t="shared" si="49"/>
        <v>0</v>
      </c>
      <c r="DA15" s="17">
        <v>0</v>
      </c>
      <c r="DB15" s="17">
        <v>0</v>
      </c>
      <c r="DC15" s="17">
        <v>0</v>
      </c>
      <c r="DD15" s="31"/>
      <c r="DE15" s="323" t="s">
        <v>387</v>
      </c>
      <c r="DF15" s="323"/>
      <c r="DG15" s="323"/>
      <c r="DH15" s="323" t="s">
        <v>387</v>
      </c>
      <c r="DI15" s="323"/>
      <c r="DJ15" s="323"/>
      <c r="DK15" s="323"/>
      <c r="DL15" s="323"/>
      <c r="DM15" s="323"/>
      <c r="DN15" s="323"/>
      <c r="DO15" s="323"/>
      <c r="DP15" s="324"/>
      <c r="DQ15" s="288"/>
      <c r="DR15" s="239">
        <f>SUM(DS15:DX15)/6</f>
        <v>0.27622785829307567</v>
      </c>
      <c r="DS15" s="429">
        <f t="shared" si="50"/>
        <v>4.3478260869565216E-2</v>
      </c>
      <c r="DT15" s="429">
        <f>SUM(BA15:BE15,BG15)/5</f>
        <v>0.6</v>
      </c>
      <c r="DU15" s="429">
        <f>SUM(BI15,BO15,BS15,BU15:BW15)/6</f>
        <v>0.16666666666666666</v>
      </c>
      <c r="DV15" s="429">
        <f>SUM(BY15-CB15,CD15-CG15)/8</f>
        <v>0.125</v>
      </c>
      <c r="DW15" s="429">
        <f>SUM(CH15:CJ15,CL15:CO15,BN15,BR15)/9</f>
        <v>0.22222222222222221</v>
      </c>
      <c r="DX15" s="429">
        <f>SUM(CP15,CR15:CV15)/6</f>
        <v>0.5</v>
      </c>
      <c r="DY15" s="429"/>
      <c r="DZ15" s="136"/>
      <c r="EA15" s="136"/>
      <c r="EB15" s="136"/>
      <c r="EC15" s="136"/>
      <c r="ED15" s="124"/>
      <c r="EH15" s="46">
        <v>0</v>
      </c>
      <c r="EI15" s="45"/>
      <c r="EJ15" s="33" t="b">
        <f t="shared" si="51"/>
        <v>0</v>
      </c>
      <c r="EK15" s="42"/>
      <c r="EL15" s="42"/>
      <c r="EM15" s="42"/>
      <c r="EN15" s="439"/>
      <c r="EO15" s="439"/>
      <c r="EP15" s="439"/>
      <c r="EQ15" s="47"/>
      <c r="ER15" s="431">
        <v>0</v>
      </c>
      <c r="ES15" s="440"/>
      <c r="ET15" s="431"/>
      <c r="EU15" s="440"/>
      <c r="EV15" s="440"/>
      <c r="EZ15" s="393" t="s">
        <v>26</v>
      </c>
      <c r="FA15" s="393" t="s">
        <v>26</v>
      </c>
      <c r="FB15" s="389">
        <v>0.42</v>
      </c>
      <c r="FC15" s="389">
        <v>128841</v>
      </c>
      <c r="FD15" s="389">
        <v>127641</v>
      </c>
      <c r="FE15" s="389">
        <v>123211</v>
      </c>
      <c r="FF15" s="389">
        <v>124751</v>
      </c>
      <c r="FG15" s="390">
        <v>-1.8627610776072833E-3</v>
      </c>
      <c r="FH15" s="390">
        <v>-6.9413432987833062E-3</v>
      </c>
      <c r="FI15" s="390">
        <v>2.4997768056423532E-3</v>
      </c>
      <c r="FJ15" s="391">
        <v>-1.3601286808679409</v>
      </c>
      <c r="FK15" s="391" t="s">
        <v>1386</v>
      </c>
      <c r="FL15" s="31" t="s">
        <v>1393</v>
      </c>
      <c r="FN15" s="128" t="s">
        <v>1416</v>
      </c>
      <c r="FO15" s="128" t="s">
        <v>1417</v>
      </c>
      <c r="FP15" s="128"/>
    </row>
    <row r="16" spans="1:179" ht="22" hidden="1" customHeight="1" x14ac:dyDescent="0.2">
      <c r="A16" s="13" t="s">
        <v>7</v>
      </c>
      <c r="B16" s="14" t="s">
        <v>27</v>
      </c>
      <c r="C16" s="9" t="s">
        <v>1026</v>
      </c>
      <c r="D16" s="14"/>
      <c r="E16" s="128" t="s">
        <v>28</v>
      </c>
      <c r="F16" s="15"/>
      <c r="G16" s="15" t="s">
        <v>635</v>
      </c>
      <c r="H16" s="95">
        <f t="shared" ref="H16:H24" si="55">IF(G16="YES",0,1)</f>
        <v>0</v>
      </c>
      <c r="I16" s="95">
        <f t="shared" si="1"/>
        <v>0</v>
      </c>
      <c r="J16" s="95"/>
      <c r="K16" s="256">
        <f t="shared" si="2"/>
        <v>0</v>
      </c>
      <c r="L16" s="278">
        <v>0</v>
      </c>
      <c r="M16" s="25"/>
      <c r="N16" s="89"/>
      <c r="O16" s="144" t="str">
        <f t="shared" si="3"/>
        <v>_x000D__x000D_</v>
      </c>
      <c r="P16" s="144" t="str">
        <f>CONCATENATE(V16,R16,X16)</f>
        <v>_x000D__x000D_</v>
      </c>
      <c r="Q16" s="425"/>
      <c r="R16" s="64" t="s">
        <v>918</v>
      </c>
      <c r="S16" s="425"/>
      <c r="T16" s="300" t="s">
        <v>867</v>
      </c>
      <c r="U16" s="301" t="s">
        <v>834</v>
      </c>
      <c r="V16" s="300" t="s">
        <v>834</v>
      </c>
      <c r="W16" s="258"/>
      <c r="X16" s="307" t="s">
        <v>834</v>
      </c>
      <c r="Y16" s="274"/>
      <c r="Z16" s="426"/>
      <c r="AA16" s="320">
        <f t="shared" si="4"/>
        <v>0</v>
      </c>
      <c r="AB16" s="320">
        <f t="shared" si="5"/>
        <v>0</v>
      </c>
      <c r="AC16" s="320">
        <f t="shared" si="6"/>
        <v>0</v>
      </c>
      <c r="AD16" s="320">
        <f t="shared" si="7"/>
        <v>0</v>
      </c>
      <c r="AE16" s="320">
        <f t="shared" si="8"/>
        <v>0</v>
      </c>
      <c r="AF16" s="320">
        <f t="shared" si="9"/>
        <v>0</v>
      </c>
      <c r="AG16" s="320">
        <f t="shared" si="10"/>
        <v>0</v>
      </c>
      <c r="AH16" s="427"/>
      <c r="AI16" s="320">
        <f t="shared" si="11"/>
        <v>0</v>
      </c>
      <c r="AJ16" s="320">
        <f t="shared" si="12"/>
        <v>0</v>
      </c>
      <c r="AK16" s="320">
        <f t="shared" si="13"/>
        <v>0</v>
      </c>
      <c r="AL16" s="320">
        <f t="shared" si="14"/>
        <v>0</v>
      </c>
      <c r="AM16" s="320">
        <f t="shared" si="15"/>
        <v>0</v>
      </c>
      <c r="AN16" s="320">
        <f t="shared" si="16"/>
        <v>0</v>
      </c>
      <c r="AO16" s="427"/>
      <c r="AP16" s="320">
        <f t="shared" si="17"/>
        <v>0</v>
      </c>
      <c r="AQ16" s="320">
        <f t="shared" si="18"/>
        <v>0</v>
      </c>
      <c r="AR16" s="320">
        <f t="shared" si="19"/>
        <v>0</v>
      </c>
      <c r="AS16" s="320">
        <f t="shared" si="20"/>
        <v>0</v>
      </c>
      <c r="AT16" s="320">
        <f t="shared" si="21"/>
        <v>0</v>
      </c>
      <c r="AU16" s="320">
        <f t="shared" si="22"/>
        <v>0</v>
      </c>
      <c r="AV16" s="427"/>
      <c r="AW16" s="320">
        <f t="shared" si="23"/>
        <v>0</v>
      </c>
      <c r="AX16" s="320">
        <f t="shared" si="24"/>
        <v>0</v>
      </c>
      <c r="AY16" s="320">
        <f t="shared" si="25"/>
        <v>0</v>
      </c>
      <c r="AZ16" s="320">
        <f t="shared" si="26"/>
        <v>0</v>
      </c>
      <c r="BA16" s="17">
        <v>1</v>
      </c>
      <c r="BB16" s="17" t="s">
        <v>867</v>
      </c>
      <c r="BC16" s="17"/>
      <c r="BD16" s="17"/>
      <c r="BE16" s="17"/>
      <c r="BF16" s="17"/>
      <c r="BG16" s="428">
        <f t="shared" si="52"/>
        <v>0</v>
      </c>
      <c r="BH16" s="17"/>
      <c r="BI16" s="17"/>
      <c r="BJ16" s="17"/>
      <c r="BK16" s="17"/>
      <c r="BL16" s="17"/>
      <c r="BM16" s="17"/>
      <c r="BN16" s="320">
        <f t="shared" si="27"/>
        <v>0</v>
      </c>
      <c r="BO16" s="320">
        <f t="shared" si="28"/>
        <v>0</v>
      </c>
      <c r="BP16" s="427"/>
      <c r="BQ16" s="427"/>
      <c r="BR16" s="320">
        <f t="shared" si="29"/>
        <v>0</v>
      </c>
      <c r="BS16" s="320">
        <f>IF(ISNUMBER(SEARCH("1",$BP16)),1,0)</f>
        <v>0</v>
      </c>
      <c r="BT16" s="427"/>
      <c r="BU16" s="320">
        <f t="shared" si="30"/>
        <v>0</v>
      </c>
      <c r="BV16" s="320">
        <f t="shared" si="31"/>
        <v>0</v>
      </c>
      <c r="BW16" s="320">
        <f t="shared" si="32"/>
        <v>0</v>
      </c>
      <c r="BX16" s="427"/>
      <c r="BY16" s="320">
        <f t="shared" si="33"/>
        <v>0</v>
      </c>
      <c r="BZ16" s="320">
        <f t="shared" si="34"/>
        <v>0</v>
      </c>
      <c r="CA16" s="320">
        <f t="shared" si="35"/>
        <v>0</v>
      </c>
      <c r="CB16" s="320">
        <f t="shared" si="36"/>
        <v>0</v>
      </c>
      <c r="CC16" s="427"/>
      <c r="CD16" s="320">
        <f t="shared" si="37"/>
        <v>0</v>
      </c>
      <c r="CE16" s="320">
        <f t="shared" si="38"/>
        <v>0</v>
      </c>
      <c r="CF16" s="320">
        <f t="shared" si="39"/>
        <v>0</v>
      </c>
      <c r="CG16" s="320">
        <f t="shared" si="40"/>
        <v>0</v>
      </c>
      <c r="CH16" s="427"/>
      <c r="CI16" s="427"/>
      <c r="CJ16" s="427"/>
      <c r="CK16" s="427"/>
      <c r="CL16" s="320">
        <f t="shared" si="53"/>
        <v>0</v>
      </c>
      <c r="CM16" s="320">
        <f t="shared" si="41"/>
        <v>0</v>
      </c>
      <c r="CN16" s="320">
        <f t="shared" si="42"/>
        <v>0</v>
      </c>
      <c r="CO16" s="320">
        <f t="shared" si="43"/>
        <v>0</v>
      </c>
      <c r="CP16" s="427"/>
      <c r="CQ16" s="427"/>
      <c r="CR16" s="320">
        <f t="shared" si="44"/>
        <v>0</v>
      </c>
      <c r="CS16" s="320">
        <f t="shared" si="45"/>
        <v>0</v>
      </c>
      <c r="CT16" s="320">
        <f t="shared" si="46"/>
        <v>0</v>
      </c>
      <c r="CU16" s="320">
        <f t="shared" si="54"/>
        <v>0</v>
      </c>
      <c r="CV16" s="427"/>
      <c r="CW16" s="17"/>
      <c r="CX16" s="320">
        <f t="shared" si="47"/>
        <v>0</v>
      </c>
      <c r="CY16" s="320">
        <f t="shared" si="48"/>
        <v>0</v>
      </c>
      <c r="CZ16" s="320">
        <f t="shared" si="49"/>
        <v>0</v>
      </c>
      <c r="DA16" s="17"/>
      <c r="DB16" s="17"/>
      <c r="DC16" s="17"/>
      <c r="DD16" s="31"/>
      <c r="DE16" s="321"/>
      <c r="DF16" s="321"/>
      <c r="DG16" s="321"/>
      <c r="DH16" s="321"/>
      <c r="DI16" s="321"/>
      <c r="DJ16" s="321"/>
      <c r="DK16" s="321"/>
      <c r="DL16" s="321"/>
      <c r="DM16" s="321"/>
      <c r="DN16" s="321"/>
      <c r="DO16" s="321"/>
      <c r="DP16" s="322"/>
      <c r="DQ16" s="288"/>
      <c r="DR16" s="241"/>
      <c r="DS16" s="429">
        <f t="shared" si="50"/>
        <v>0</v>
      </c>
      <c r="DT16" s="438"/>
      <c r="DU16" s="59"/>
      <c r="DV16" s="59"/>
      <c r="DW16" s="59"/>
      <c r="DX16" s="59"/>
      <c r="DY16" s="59"/>
      <c r="DZ16" s="134"/>
      <c r="EA16" s="134"/>
      <c r="EB16" s="134"/>
      <c r="EC16" s="134"/>
      <c r="ED16" s="123"/>
      <c r="EH16" s="44">
        <v>0</v>
      </c>
      <c r="EI16" s="45"/>
      <c r="EJ16" s="33" t="b">
        <f t="shared" si="51"/>
        <v>0</v>
      </c>
      <c r="EK16" s="42"/>
      <c r="EL16" s="42"/>
      <c r="EM16" s="42"/>
      <c r="EN16" s="439"/>
      <c r="EO16" s="439"/>
      <c r="EP16" s="439"/>
      <c r="EQ16" s="38"/>
      <c r="ER16" s="431"/>
      <c r="ES16" s="440"/>
      <c r="ET16" s="431"/>
      <c r="EU16" s="440"/>
      <c r="EV16" s="440"/>
      <c r="EZ16" s="393" t="s">
        <v>28</v>
      </c>
      <c r="FA16" s="393" t="s">
        <v>28</v>
      </c>
      <c r="FB16" s="389">
        <v>0.42</v>
      </c>
      <c r="FC16" s="389">
        <v>3838</v>
      </c>
      <c r="FD16" s="389">
        <v>3851</v>
      </c>
      <c r="FE16" s="389">
        <v>3860</v>
      </c>
      <c r="FF16" s="389">
        <v>3869</v>
      </c>
      <c r="FG16" s="390">
        <v>6.7743616466909846E-4</v>
      </c>
      <c r="FH16" s="390">
        <v>4.6741106206180208E-4</v>
      </c>
      <c r="FI16" s="390">
        <v>4.66321243523316E-4</v>
      </c>
      <c r="FJ16" s="391" t="s">
        <v>1389</v>
      </c>
      <c r="FK16" s="391">
        <v>-2.3316062176166196E-3</v>
      </c>
      <c r="FL16" s="31" t="s">
        <v>1394</v>
      </c>
      <c r="FN16" s="128" t="s">
        <v>1418</v>
      </c>
      <c r="FO16" s="128" t="s">
        <v>1419</v>
      </c>
      <c r="FP16" s="128"/>
    </row>
    <row r="17" spans="1:179" ht="22" hidden="1" customHeight="1" x14ac:dyDescent="0.2">
      <c r="A17" s="13" t="s">
        <v>4</v>
      </c>
      <c r="B17" s="14" t="s">
        <v>21</v>
      </c>
      <c r="C17" s="14"/>
      <c r="D17" s="14"/>
      <c r="E17" s="128" t="s">
        <v>29</v>
      </c>
      <c r="F17" s="15"/>
      <c r="G17" s="15" t="s">
        <v>634</v>
      </c>
      <c r="H17" s="95">
        <f t="shared" si="55"/>
        <v>1</v>
      </c>
      <c r="I17" s="95">
        <f t="shared" si="1"/>
        <v>0</v>
      </c>
      <c r="J17" s="95"/>
      <c r="K17" s="256">
        <f t="shared" si="2"/>
        <v>1</v>
      </c>
      <c r="L17" s="278">
        <v>0</v>
      </c>
      <c r="M17" s="25"/>
      <c r="N17" s="89"/>
      <c r="O17" s="144" t="str">
        <f t="shared" si="3"/>
        <v>_x000D__x000D_</v>
      </c>
      <c r="P17" s="144"/>
      <c r="Q17" s="64"/>
      <c r="R17" s="64" t="s">
        <v>918</v>
      </c>
      <c r="S17" s="425"/>
      <c r="T17" s="300" t="s">
        <v>834</v>
      </c>
      <c r="U17" s="300" t="s">
        <v>834</v>
      </c>
      <c r="V17" s="301" t="s">
        <v>834</v>
      </c>
      <c r="W17" s="258"/>
      <c r="X17" s="307" t="s">
        <v>834</v>
      </c>
      <c r="Y17" s="274"/>
      <c r="Z17" s="426"/>
      <c r="AA17" s="320">
        <f t="shared" si="4"/>
        <v>0</v>
      </c>
      <c r="AB17" s="320">
        <f t="shared" si="5"/>
        <v>0</v>
      </c>
      <c r="AC17" s="320">
        <f t="shared" si="6"/>
        <v>0</v>
      </c>
      <c r="AD17" s="320">
        <f t="shared" si="7"/>
        <v>0</v>
      </c>
      <c r="AE17" s="320">
        <f t="shared" si="8"/>
        <v>0</v>
      </c>
      <c r="AF17" s="320">
        <f t="shared" si="9"/>
        <v>0</v>
      </c>
      <c r="AG17" s="320">
        <f t="shared" si="10"/>
        <v>0</v>
      </c>
      <c r="AH17" s="427"/>
      <c r="AI17" s="320">
        <f t="shared" si="11"/>
        <v>0</v>
      </c>
      <c r="AJ17" s="320">
        <f t="shared" si="12"/>
        <v>0</v>
      </c>
      <c r="AK17" s="320">
        <f t="shared" si="13"/>
        <v>0</v>
      </c>
      <c r="AL17" s="320">
        <f t="shared" si="14"/>
        <v>0</v>
      </c>
      <c r="AM17" s="320">
        <f t="shared" si="15"/>
        <v>0</v>
      </c>
      <c r="AN17" s="320">
        <f t="shared" si="16"/>
        <v>0</v>
      </c>
      <c r="AO17" s="427"/>
      <c r="AP17" s="320">
        <f t="shared" si="17"/>
        <v>0</v>
      </c>
      <c r="AQ17" s="320">
        <f t="shared" si="18"/>
        <v>0</v>
      </c>
      <c r="AR17" s="320">
        <f t="shared" si="19"/>
        <v>0</v>
      </c>
      <c r="AS17" s="320">
        <f t="shared" si="20"/>
        <v>0</v>
      </c>
      <c r="AT17" s="320">
        <f t="shared" si="21"/>
        <v>0</v>
      </c>
      <c r="AU17" s="320">
        <f t="shared" si="22"/>
        <v>0</v>
      </c>
      <c r="AV17" s="427"/>
      <c r="AW17" s="320">
        <f t="shared" si="23"/>
        <v>0</v>
      </c>
      <c r="AX17" s="320">
        <f t="shared" si="24"/>
        <v>0</v>
      </c>
      <c r="AY17" s="320">
        <f t="shared" si="25"/>
        <v>0</v>
      </c>
      <c r="AZ17" s="320">
        <f t="shared" si="26"/>
        <v>0</v>
      </c>
      <c r="BA17" s="17"/>
      <c r="BB17" s="17" t="s">
        <v>834</v>
      </c>
      <c r="BC17" s="17"/>
      <c r="BD17" s="17"/>
      <c r="BE17" s="17"/>
      <c r="BF17" s="17"/>
      <c r="BG17" s="428">
        <f t="shared" si="52"/>
        <v>0</v>
      </c>
      <c r="BH17" s="17"/>
      <c r="BI17" s="17"/>
      <c r="BJ17" s="17"/>
      <c r="BK17" s="17"/>
      <c r="BL17" s="17"/>
      <c r="BM17" s="17"/>
      <c r="BN17" s="320">
        <f t="shared" si="27"/>
        <v>0</v>
      </c>
      <c r="BO17" s="320">
        <f t="shared" si="28"/>
        <v>0</v>
      </c>
      <c r="BP17" s="427"/>
      <c r="BQ17" s="427"/>
      <c r="BR17" s="320">
        <f t="shared" si="29"/>
        <v>0</v>
      </c>
      <c r="BS17" s="320">
        <f>IF(ISNUMBER(SEARCH("1",$BP17)),1,0)</f>
        <v>0</v>
      </c>
      <c r="BT17" s="427"/>
      <c r="BU17" s="320">
        <f t="shared" si="30"/>
        <v>0</v>
      </c>
      <c r="BV17" s="320">
        <f t="shared" si="31"/>
        <v>0</v>
      </c>
      <c r="BW17" s="320">
        <f t="shared" si="32"/>
        <v>0</v>
      </c>
      <c r="BX17" s="427"/>
      <c r="BY17" s="320">
        <f t="shared" si="33"/>
        <v>0</v>
      </c>
      <c r="BZ17" s="320">
        <f t="shared" si="34"/>
        <v>0</v>
      </c>
      <c r="CA17" s="320">
        <f t="shared" si="35"/>
        <v>0</v>
      </c>
      <c r="CB17" s="320">
        <f t="shared" si="36"/>
        <v>0</v>
      </c>
      <c r="CC17" s="427"/>
      <c r="CD17" s="320">
        <f t="shared" si="37"/>
        <v>0</v>
      </c>
      <c r="CE17" s="320">
        <f t="shared" si="38"/>
        <v>0</v>
      </c>
      <c r="CF17" s="320">
        <f t="shared" si="39"/>
        <v>0</v>
      </c>
      <c r="CG17" s="320">
        <f t="shared" si="40"/>
        <v>0</v>
      </c>
      <c r="CH17" s="427"/>
      <c r="CI17" s="427"/>
      <c r="CJ17" s="427"/>
      <c r="CK17" s="427"/>
      <c r="CL17" s="320">
        <f t="shared" si="53"/>
        <v>0</v>
      </c>
      <c r="CM17" s="320">
        <f t="shared" si="41"/>
        <v>0</v>
      </c>
      <c r="CN17" s="320">
        <f t="shared" si="42"/>
        <v>0</v>
      </c>
      <c r="CO17" s="320">
        <f t="shared" si="43"/>
        <v>0</v>
      </c>
      <c r="CP17" s="427"/>
      <c r="CQ17" s="427"/>
      <c r="CR17" s="320">
        <f t="shared" si="44"/>
        <v>0</v>
      </c>
      <c r="CS17" s="320">
        <f t="shared" si="45"/>
        <v>0</v>
      </c>
      <c r="CT17" s="320">
        <f t="shared" si="46"/>
        <v>0</v>
      </c>
      <c r="CU17" s="320">
        <f t="shared" si="54"/>
        <v>0</v>
      </c>
      <c r="CV17" s="427"/>
      <c r="CW17" s="17"/>
      <c r="CX17" s="320">
        <f t="shared" si="47"/>
        <v>0</v>
      </c>
      <c r="CY17" s="320">
        <f t="shared" si="48"/>
        <v>0</v>
      </c>
      <c r="CZ17" s="320">
        <f t="shared" si="49"/>
        <v>0</v>
      </c>
      <c r="DA17" s="17"/>
      <c r="DB17" s="17"/>
      <c r="DC17" s="17"/>
      <c r="DD17" s="31"/>
      <c r="DE17" s="323"/>
      <c r="DF17" s="323"/>
      <c r="DG17" s="323"/>
      <c r="DH17" s="323"/>
      <c r="DI17" s="323"/>
      <c r="DJ17" s="323"/>
      <c r="DK17" s="323"/>
      <c r="DL17" s="323"/>
      <c r="DM17" s="323"/>
      <c r="DN17" s="323"/>
      <c r="DO17" s="323"/>
      <c r="DP17" s="324"/>
      <c r="DQ17" s="288"/>
      <c r="DR17" s="242"/>
      <c r="DS17" s="429">
        <f t="shared" si="50"/>
        <v>0</v>
      </c>
      <c r="DT17" s="438"/>
      <c r="DU17" s="59"/>
      <c r="DV17" s="59"/>
      <c r="DW17" s="59"/>
      <c r="DX17" s="59"/>
      <c r="DY17" s="59"/>
      <c r="DZ17" s="134"/>
      <c r="EA17" s="134"/>
      <c r="EB17" s="134"/>
      <c r="EC17" s="134"/>
      <c r="ED17" s="123"/>
      <c r="EH17" s="46">
        <v>0</v>
      </c>
      <c r="EI17" s="45"/>
      <c r="EJ17" s="33" t="b">
        <f t="shared" si="51"/>
        <v>0</v>
      </c>
      <c r="EK17" s="42"/>
      <c r="EL17" s="42"/>
      <c r="EM17" s="42"/>
      <c r="EN17" s="439"/>
      <c r="EO17" s="439"/>
      <c r="EP17" s="439"/>
      <c r="EQ17" s="47"/>
      <c r="ER17" s="431"/>
      <c r="ES17" s="440"/>
      <c r="ET17" s="431"/>
      <c r="EU17" s="440"/>
      <c r="EV17" s="440"/>
      <c r="EZ17" s="393" t="s">
        <v>29</v>
      </c>
      <c r="FA17" s="393" t="s">
        <v>29</v>
      </c>
      <c r="FB17" s="389">
        <v>851.8</v>
      </c>
      <c r="FC17" s="389">
        <v>871.8</v>
      </c>
      <c r="FD17" s="389">
        <v>877.2</v>
      </c>
      <c r="FE17" s="389">
        <v>1008.3</v>
      </c>
      <c r="FF17" s="389">
        <v>1139.4000000000001</v>
      </c>
      <c r="FG17" s="390">
        <v>1.2388162422574194E-3</v>
      </c>
      <c r="FH17" s="390">
        <v>2.9890560875512971E-2</v>
      </c>
      <c r="FI17" s="390">
        <v>2.6004165426956292E-2</v>
      </c>
      <c r="FJ17" s="391" t="s">
        <v>1389</v>
      </c>
      <c r="FK17" s="391">
        <v>-0.13002082713477961</v>
      </c>
      <c r="FL17" s="31" t="s">
        <v>1394</v>
      </c>
      <c r="FN17" s="128" t="s">
        <v>1420</v>
      </c>
      <c r="FO17" s="128" t="s">
        <v>1421</v>
      </c>
      <c r="FP17" s="128"/>
    </row>
    <row r="18" spans="1:179" ht="22" hidden="1" customHeight="1" x14ac:dyDescent="0.2">
      <c r="A18" s="13" t="s">
        <v>16</v>
      </c>
      <c r="B18" s="19" t="s">
        <v>17</v>
      </c>
      <c r="C18" s="19"/>
      <c r="D18" s="19"/>
      <c r="E18" s="128" t="s">
        <v>30</v>
      </c>
      <c r="F18" s="15"/>
      <c r="G18" s="15" t="s">
        <v>634</v>
      </c>
      <c r="H18" s="95">
        <f t="shared" si="55"/>
        <v>1</v>
      </c>
      <c r="I18" s="95">
        <f t="shared" si="1"/>
        <v>0</v>
      </c>
      <c r="J18" s="95"/>
      <c r="K18" s="256">
        <f t="shared" si="2"/>
        <v>1</v>
      </c>
      <c r="L18" s="278">
        <v>0</v>
      </c>
      <c r="M18" s="25"/>
      <c r="N18" s="89"/>
      <c r="O18" s="144" t="str">
        <f t="shared" si="3"/>
        <v>_x000D__x000D_</v>
      </c>
      <c r="P18" s="144"/>
      <c r="Q18" s="425"/>
      <c r="R18" s="64" t="s">
        <v>918</v>
      </c>
      <c r="S18" s="425"/>
      <c r="T18" s="300" t="s">
        <v>834</v>
      </c>
      <c r="U18" s="301" t="s">
        <v>834</v>
      </c>
      <c r="V18" s="301" t="s">
        <v>834</v>
      </c>
      <c r="W18" s="258"/>
      <c r="X18" s="307" t="s">
        <v>834</v>
      </c>
      <c r="Y18" s="274"/>
      <c r="Z18" s="426"/>
      <c r="AA18" s="320">
        <f t="shared" si="4"/>
        <v>0</v>
      </c>
      <c r="AB18" s="320">
        <f t="shared" si="5"/>
        <v>0</v>
      </c>
      <c r="AC18" s="320">
        <f t="shared" si="6"/>
        <v>0</v>
      </c>
      <c r="AD18" s="320">
        <f t="shared" si="7"/>
        <v>0</v>
      </c>
      <c r="AE18" s="320">
        <f t="shared" si="8"/>
        <v>0</v>
      </c>
      <c r="AF18" s="320">
        <f t="shared" si="9"/>
        <v>0</v>
      </c>
      <c r="AG18" s="320">
        <f t="shared" si="10"/>
        <v>0</v>
      </c>
      <c r="AH18" s="427"/>
      <c r="AI18" s="320">
        <f t="shared" si="11"/>
        <v>0</v>
      </c>
      <c r="AJ18" s="320">
        <f t="shared" si="12"/>
        <v>0</v>
      </c>
      <c r="AK18" s="320">
        <f t="shared" si="13"/>
        <v>0</v>
      </c>
      <c r="AL18" s="320">
        <f t="shared" si="14"/>
        <v>0</v>
      </c>
      <c r="AM18" s="320">
        <f t="shared" si="15"/>
        <v>0</v>
      </c>
      <c r="AN18" s="320">
        <f t="shared" si="16"/>
        <v>0</v>
      </c>
      <c r="AO18" s="427"/>
      <c r="AP18" s="320">
        <f t="shared" si="17"/>
        <v>0</v>
      </c>
      <c r="AQ18" s="320">
        <f t="shared" si="18"/>
        <v>0</v>
      </c>
      <c r="AR18" s="320">
        <f t="shared" si="19"/>
        <v>0</v>
      </c>
      <c r="AS18" s="320">
        <f t="shared" si="20"/>
        <v>0</v>
      </c>
      <c r="AT18" s="320">
        <f t="shared" si="21"/>
        <v>0</v>
      </c>
      <c r="AU18" s="320">
        <f t="shared" si="22"/>
        <v>0</v>
      </c>
      <c r="AV18" s="427"/>
      <c r="AW18" s="320">
        <f t="shared" si="23"/>
        <v>0</v>
      </c>
      <c r="AX18" s="320">
        <f t="shared" si="24"/>
        <v>0</v>
      </c>
      <c r="AY18" s="320">
        <f t="shared" si="25"/>
        <v>0</v>
      </c>
      <c r="AZ18" s="320">
        <f t="shared" si="26"/>
        <v>0</v>
      </c>
      <c r="BA18" s="17"/>
      <c r="BB18" s="17" t="s">
        <v>834</v>
      </c>
      <c r="BC18" s="17"/>
      <c r="BD18" s="17"/>
      <c r="BE18" s="17"/>
      <c r="BF18" s="17"/>
      <c r="BG18" s="428">
        <f t="shared" si="52"/>
        <v>0</v>
      </c>
      <c r="BH18" s="17"/>
      <c r="BI18" s="17"/>
      <c r="BJ18" s="17"/>
      <c r="BK18" s="17"/>
      <c r="BL18" s="17"/>
      <c r="BM18" s="17"/>
      <c r="BN18" s="320">
        <f t="shared" si="27"/>
        <v>0</v>
      </c>
      <c r="BO18" s="320">
        <f t="shared" si="28"/>
        <v>0</v>
      </c>
      <c r="BP18" s="427"/>
      <c r="BQ18" s="427"/>
      <c r="BR18" s="320">
        <f t="shared" si="29"/>
        <v>0</v>
      </c>
      <c r="BS18" s="320">
        <f>IF(ISNUMBER(SEARCH("1",$BP18)),1,0)</f>
        <v>0</v>
      </c>
      <c r="BT18" s="427"/>
      <c r="BU18" s="320">
        <f t="shared" si="30"/>
        <v>0</v>
      </c>
      <c r="BV18" s="320">
        <f t="shared" si="31"/>
        <v>0</v>
      </c>
      <c r="BW18" s="320">
        <f t="shared" si="32"/>
        <v>0</v>
      </c>
      <c r="BX18" s="427"/>
      <c r="BY18" s="320">
        <f t="shared" si="33"/>
        <v>0</v>
      </c>
      <c r="BZ18" s="320">
        <f t="shared" si="34"/>
        <v>0</v>
      </c>
      <c r="CA18" s="320">
        <f t="shared" si="35"/>
        <v>0</v>
      </c>
      <c r="CB18" s="320">
        <f t="shared" si="36"/>
        <v>0</v>
      </c>
      <c r="CC18" s="427"/>
      <c r="CD18" s="320">
        <f t="shared" si="37"/>
        <v>0</v>
      </c>
      <c r="CE18" s="320">
        <f t="shared" si="38"/>
        <v>0</v>
      </c>
      <c r="CF18" s="320">
        <f t="shared" si="39"/>
        <v>0</v>
      </c>
      <c r="CG18" s="320">
        <f t="shared" si="40"/>
        <v>0</v>
      </c>
      <c r="CH18" s="427"/>
      <c r="CI18" s="427"/>
      <c r="CJ18" s="427"/>
      <c r="CK18" s="427"/>
      <c r="CL18" s="320">
        <f t="shared" si="53"/>
        <v>0</v>
      </c>
      <c r="CM18" s="320">
        <f t="shared" si="41"/>
        <v>0</v>
      </c>
      <c r="CN18" s="320">
        <f t="shared" si="42"/>
        <v>0</v>
      </c>
      <c r="CO18" s="320">
        <f t="shared" si="43"/>
        <v>0</v>
      </c>
      <c r="CP18" s="427"/>
      <c r="CQ18" s="427"/>
      <c r="CR18" s="320">
        <f t="shared" si="44"/>
        <v>0</v>
      </c>
      <c r="CS18" s="320">
        <f t="shared" si="45"/>
        <v>0</v>
      </c>
      <c r="CT18" s="320">
        <f t="shared" si="46"/>
        <v>0</v>
      </c>
      <c r="CU18" s="320">
        <f t="shared" si="54"/>
        <v>0</v>
      </c>
      <c r="CV18" s="427"/>
      <c r="CW18" s="17"/>
      <c r="CX18" s="320">
        <f t="shared" si="47"/>
        <v>0</v>
      </c>
      <c r="CY18" s="320">
        <f t="shared" si="48"/>
        <v>0</v>
      </c>
      <c r="CZ18" s="320">
        <f t="shared" si="49"/>
        <v>0</v>
      </c>
      <c r="DA18" s="17"/>
      <c r="DB18" s="17"/>
      <c r="DC18" s="17"/>
      <c r="DD18" s="31"/>
      <c r="DE18" s="321"/>
      <c r="DF18" s="321"/>
      <c r="DG18" s="321"/>
      <c r="DH18" s="321"/>
      <c r="DI18" s="321"/>
      <c r="DJ18" s="321"/>
      <c r="DK18" s="321"/>
      <c r="DL18" s="321"/>
      <c r="DM18" s="321"/>
      <c r="DN18" s="321"/>
      <c r="DO18" s="321"/>
      <c r="DP18" s="322"/>
      <c r="DQ18" s="288"/>
      <c r="DR18" s="241"/>
      <c r="DS18" s="429">
        <f t="shared" si="50"/>
        <v>0</v>
      </c>
      <c r="DT18" s="438"/>
      <c r="DU18" s="59"/>
      <c r="DV18" s="59"/>
      <c r="DW18" s="59"/>
      <c r="DX18" s="59"/>
      <c r="DY18" s="59"/>
      <c r="DZ18" s="134"/>
      <c r="EA18" s="134"/>
      <c r="EB18" s="134"/>
      <c r="EC18" s="134"/>
      <c r="ED18" s="123"/>
      <c r="EH18" s="46">
        <v>0</v>
      </c>
      <c r="EI18" s="45"/>
      <c r="EJ18" s="33" t="b">
        <f t="shared" si="51"/>
        <v>0</v>
      </c>
      <c r="EK18" s="42"/>
      <c r="EL18" s="42"/>
      <c r="EM18" s="42"/>
      <c r="EN18" s="439"/>
      <c r="EO18" s="439"/>
      <c r="EP18" s="439"/>
      <c r="EQ18" s="47"/>
      <c r="ER18" s="431">
        <v>1</v>
      </c>
      <c r="ES18" s="440"/>
      <c r="ET18" s="431" t="s">
        <v>672</v>
      </c>
      <c r="EU18" s="440"/>
      <c r="EV18" s="440"/>
      <c r="EZ18" s="393" t="s">
        <v>30</v>
      </c>
      <c r="FA18" s="393" t="s">
        <v>30</v>
      </c>
      <c r="FB18" s="389">
        <v>515</v>
      </c>
      <c r="FC18" s="389">
        <v>515</v>
      </c>
      <c r="FD18" s="389">
        <v>515</v>
      </c>
      <c r="FE18" s="389">
        <v>515</v>
      </c>
      <c r="FF18" s="389">
        <v>515</v>
      </c>
      <c r="FG18" s="390">
        <v>0</v>
      </c>
      <c r="FH18" s="390">
        <v>0</v>
      </c>
      <c r="FI18" s="390">
        <v>0</v>
      </c>
      <c r="FJ18" s="391">
        <v>0</v>
      </c>
      <c r="FK18" s="391" t="s">
        <v>1386</v>
      </c>
      <c r="FL18" s="31" t="s">
        <v>1387</v>
      </c>
      <c r="FN18" s="128" t="s">
        <v>1422</v>
      </c>
      <c r="FO18" s="128" t="s">
        <v>1423</v>
      </c>
      <c r="FP18" s="128"/>
    </row>
    <row r="19" spans="1:179" ht="22" hidden="1" customHeight="1" x14ac:dyDescent="0.2">
      <c r="A19" s="13" t="s">
        <v>4</v>
      </c>
      <c r="B19" s="14" t="s">
        <v>21</v>
      </c>
      <c r="C19" s="14"/>
      <c r="D19" s="14"/>
      <c r="E19" s="128" t="s">
        <v>31</v>
      </c>
      <c r="F19" s="15"/>
      <c r="G19" s="15" t="s">
        <v>634</v>
      </c>
      <c r="H19" s="95">
        <f t="shared" si="55"/>
        <v>1</v>
      </c>
      <c r="I19" s="95">
        <f t="shared" si="1"/>
        <v>0</v>
      </c>
      <c r="J19" s="95"/>
      <c r="K19" s="256">
        <f t="shared" si="2"/>
        <v>1</v>
      </c>
      <c r="L19" s="278">
        <v>0</v>
      </c>
      <c r="M19" s="25"/>
      <c r="N19" s="89"/>
      <c r="O19" s="144" t="str">
        <f t="shared" si="3"/>
        <v>_x000D__x000D_</v>
      </c>
      <c r="P19" s="144"/>
      <c r="Q19" s="64"/>
      <c r="R19" s="64" t="s">
        <v>918</v>
      </c>
      <c r="S19" s="425"/>
      <c r="T19" s="300" t="s">
        <v>834</v>
      </c>
      <c r="U19" s="301" t="s">
        <v>834</v>
      </c>
      <c r="V19" s="301" t="s">
        <v>834</v>
      </c>
      <c r="W19" s="258"/>
      <c r="X19" s="307" t="s">
        <v>834</v>
      </c>
      <c r="Y19" s="274"/>
      <c r="Z19" s="426"/>
      <c r="AA19" s="320">
        <f t="shared" si="4"/>
        <v>0</v>
      </c>
      <c r="AB19" s="320">
        <f t="shared" si="5"/>
        <v>0</v>
      </c>
      <c r="AC19" s="320">
        <f t="shared" si="6"/>
        <v>0</v>
      </c>
      <c r="AD19" s="320">
        <f t="shared" si="7"/>
        <v>0</v>
      </c>
      <c r="AE19" s="320">
        <f t="shared" si="8"/>
        <v>0</v>
      </c>
      <c r="AF19" s="320">
        <f t="shared" si="9"/>
        <v>0</v>
      </c>
      <c r="AG19" s="320">
        <f t="shared" si="10"/>
        <v>0</v>
      </c>
      <c r="AH19" s="427"/>
      <c r="AI19" s="320">
        <f t="shared" si="11"/>
        <v>0</v>
      </c>
      <c r="AJ19" s="320">
        <f t="shared" si="12"/>
        <v>0</v>
      </c>
      <c r="AK19" s="320">
        <f t="shared" si="13"/>
        <v>0</v>
      </c>
      <c r="AL19" s="320">
        <f t="shared" si="14"/>
        <v>0</v>
      </c>
      <c r="AM19" s="320">
        <f t="shared" si="15"/>
        <v>0</v>
      </c>
      <c r="AN19" s="320">
        <f t="shared" si="16"/>
        <v>0</v>
      </c>
      <c r="AO19" s="427"/>
      <c r="AP19" s="320">
        <f t="shared" si="17"/>
        <v>0</v>
      </c>
      <c r="AQ19" s="320">
        <f t="shared" si="18"/>
        <v>0</v>
      </c>
      <c r="AR19" s="320">
        <f t="shared" si="19"/>
        <v>0</v>
      </c>
      <c r="AS19" s="320">
        <f t="shared" si="20"/>
        <v>0</v>
      </c>
      <c r="AT19" s="320">
        <f t="shared" si="21"/>
        <v>0</v>
      </c>
      <c r="AU19" s="320">
        <f t="shared" si="22"/>
        <v>0</v>
      </c>
      <c r="AV19" s="427"/>
      <c r="AW19" s="320">
        <f t="shared" si="23"/>
        <v>0</v>
      </c>
      <c r="AX19" s="320">
        <f t="shared" si="24"/>
        <v>0</v>
      </c>
      <c r="AY19" s="320">
        <f t="shared" si="25"/>
        <v>0</v>
      </c>
      <c r="AZ19" s="320">
        <f t="shared" si="26"/>
        <v>0</v>
      </c>
      <c r="BA19" s="17"/>
      <c r="BB19" s="17" t="s">
        <v>834</v>
      </c>
      <c r="BC19" s="17"/>
      <c r="BD19" s="17"/>
      <c r="BE19" s="17"/>
      <c r="BF19" s="17"/>
      <c r="BG19" s="428">
        <f t="shared" si="52"/>
        <v>0</v>
      </c>
      <c r="BH19" s="17"/>
      <c r="BI19" s="17"/>
      <c r="BJ19" s="17"/>
      <c r="BK19" s="17"/>
      <c r="BL19" s="17"/>
      <c r="BM19" s="17"/>
      <c r="BN19" s="320">
        <f t="shared" si="27"/>
        <v>0</v>
      </c>
      <c r="BO19" s="320">
        <f t="shared" si="28"/>
        <v>0</v>
      </c>
      <c r="BP19" s="427"/>
      <c r="BQ19" s="427"/>
      <c r="BR19" s="320">
        <f t="shared" si="29"/>
        <v>0</v>
      </c>
      <c r="BS19" s="320">
        <f>IF(ISNUMBER(SEARCH("1",$BP19)),1,0)</f>
        <v>0</v>
      </c>
      <c r="BT19" s="427"/>
      <c r="BU19" s="320">
        <f t="shared" si="30"/>
        <v>0</v>
      </c>
      <c r="BV19" s="320">
        <f t="shared" si="31"/>
        <v>0</v>
      </c>
      <c r="BW19" s="320">
        <f t="shared" si="32"/>
        <v>0</v>
      </c>
      <c r="BX19" s="427"/>
      <c r="BY19" s="320">
        <f t="shared" si="33"/>
        <v>0</v>
      </c>
      <c r="BZ19" s="320">
        <f t="shared" si="34"/>
        <v>0</v>
      </c>
      <c r="CA19" s="320">
        <f t="shared" si="35"/>
        <v>0</v>
      </c>
      <c r="CB19" s="320">
        <f t="shared" si="36"/>
        <v>0</v>
      </c>
      <c r="CC19" s="427"/>
      <c r="CD19" s="320">
        <f t="shared" si="37"/>
        <v>0</v>
      </c>
      <c r="CE19" s="320">
        <f t="shared" si="38"/>
        <v>0</v>
      </c>
      <c r="CF19" s="320">
        <f t="shared" si="39"/>
        <v>0</v>
      </c>
      <c r="CG19" s="320">
        <f t="shared" si="40"/>
        <v>0</v>
      </c>
      <c r="CH19" s="427"/>
      <c r="CI19" s="427"/>
      <c r="CJ19" s="427"/>
      <c r="CK19" s="427"/>
      <c r="CL19" s="320">
        <f t="shared" si="53"/>
        <v>0</v>
      </c>
      <c r="CM19" s="320">
        <f t="shared" si="41"/>
        <v>0</v>
      </c>
      <c r="CN19" s="320">
        <f t="shared" si="42"/>
        <v>0</v>
      </c>
      <c r="CO19" s="320">
        <f t="shared" si="43"/>
        <v>0</v>
      </c>
      <c r="CP19" s="427"/>
      <c r="CQ19" s="427"/>
      <c r="CR19" s="320">
        <f t="shared" si="44"/>
        <v>0</v>
      </c>
      <c r="CS19" s="320">
        <f t="shared" si="45"/>
        <v>0</v>
      </c>
      <c r="CT19" s="320">
        <f t="shared" si="46"/>
        <v>0</v>
      </c>
      <c r="CU19" s="320">
        <f t="shared" si="54"/>
        <v>0</v>
      </c>
      <c r="CV19" s="427"/>
      <c r="CW19" s="17"/>
      <c r="CX19" s="320">
        <f t="shared" si="47"/>
        <v>0</v>
      </c>
      <c r="CY19" s="320">
        <f t="shared" si="48"/>
        <v>0</v>
      </c>
      <c r="CZ19" s="320">
        <f t="shared" si="49"/>
        <v>0</v>
      </c>
      <c r="DA19" s="17"/>
      <c r="DB19" s="17"/>
      <c r="DC19" s="17"/>
      <c r="DD19" s="31"/>
      <c r="DE19" s="323"/>
      <c r="DF19" s="323"/>
      <c r="DG19" s="323"/>
      <c r="DH19" s="323"/>
      <c r="DI19" s="323"/>
      <c r="DJ19" s="323"/>
      <c r="DK19" s="323"/>
      <c r="DL19" s="323"/>
      <c r="DM19" s="323"/>
      <c r="DN19" s="323"/>
      <c r="DO19" s="323"/>
      <c r="DP19" s="324"/>
      <c r="DQ19" s="288"/>
      <c r="DR19" s="242"/>
      <c r="DS19" s="429">
        <f t="shared" si="50"/>
        <v>0</v>
      </c>
      <c r="DT19" s="438"/>
      <c r="DU19" s="59"/>
      <c r="DV19" s="59"/>
      <c r="DW19" s="59"/>
      <c r="DX19" s="59"/>
      <c r="DY19" s="59"/>
      <c r="DZ19" s="134"/>
      <c r="EA19" s="134"/>
      <c r="EB19" s="134"/>
      <c r="EC19" s="134"/>
      <c r="ED19" s="123"/>
      <c r="EH19" s="44">
        <v>0</v>
      </c>
      <c r="EI19" s="45"/>
      <c r="EJ19" s="33" t="b">
        <f t="shared" si="51"/>
        <v>0</v>
      </c>
      <c r="EK19" s="42"/>
      <c r="EL19" s="42"/>
      <c r="EM19" s="42"/>
      <c r="EN19" s="439"/>
      <c r="EO19" s="439"/>
      <c r="EP19" s="439"/>
      <c r="EQ19" s="38"/>
      <c r="ER19" s="431">
        <v>0</v>
      </c>
      <c r="ES19" s="440"/>
      <c r="ET19" s="431"/>
      <c r="EU19" s="440"/>
      <c r="EV19" s="440"/>
      <c r="EZ19" s="393" t="s">
        <v>31</v>
      </c>
      <c r="FA19" s="393" t="s">
        <v>31</v>
      </c>
      <c r="FB19" s="389">
        <v>0.216</v>
      </c>
      <c r="FC19" s="389">
        <v>0.371</v>
      </c>
      <c r="FD19" s="389">
        <v>0.44800000000000001</v>
      </c>
      <c r="FE19" s="389">
        <v>0.52600000000000002</v>
      </c>
      <c r="FF19" s="389">
        <v>0.60399999999999998</v>
      </c>
      <c r="FG19" s="390">
        <v>4.1509433962264156E-2</v>
      </c>
      <c r="FH19" s="390">
        <v>3.4821428571428573E-2</v>
      </c>
      <c r="FI19" s="390">
        <v>2.9657794676806064E-2</v>
      </c>
      <c r="FJ19" s="391" t="s">
        <v>1389</v>
      </c>
      <c r="FK19" s="391">
        <v>-0.14828897338403102</v>
      </c>
      <c r="FL19" s="31" t="s">
        <v>1394</v>
      </c>
      <c r="FN19" s="128" t="s">
        <v>1424</v>
      </c>
      <c r="FO19" s="128" t="s">
        <v>1425</v>
      </c>
      <c r="FP19" s="128"/>
    </row>
    <row r="20" spans="1:179" ht="22" hidden="1" customHeight="1" x14ac:dyDescent="0.2">
      <c r="A20" s="13" t="s">
        <v>4</v>
      </c>
      <c r="B20" s="14" t="s">
        <v>5</v>
      </c>
      <c r="C20" s="9" t="s">
        <v>1027</v>
      </c>
      <c r="D20" s="14" t="s">
        <v>1068</v>
      </c>
      <c r="E20" s="128" t="s">
        <v>32</v>
      </c>
      <c r="F20" s="15" t="s">
        <v>638</v>
      </c>
      <c r="G20" s="15" t="s">
        <v>634</v>
      </c>
      <c r="H20" s="95">
        <f t="shared" si="55"/>
        <v>1</v>
      </c>
      <c r="I20" s="95">
        <f t="shared" si="1"/>
        <v>0</v>
      </c>
      <c r="J20" s="95"/>
      <c r="K20" s="256">
        <f t="shared" si="2"/>
        <v>1</v>
      </c>
      <c r="L20" s="278">
        <v>0</v>
      </c>
      <c r="M20" s="25"/>
      <c r="N20" s="89"/>
      <c r="O20" s="144" t="str">
        <f t="shared" si="3"/>
        <v>_x000D__x000D_</v>
      </c>
      <c r="P20" s="144" t="str">
        <f>CONCATENATE(V20,R20,X20)</f>
        <v xml:space="preserve">Bangladesh acknowledges that climate change action requires a holistic approach and further acknowledges that many activities will deliver both adaptation and mitigation benefits. For example,_x000D_Bangladesh’s national afforestation programme has led to significant afforestation in newly accreted lands along the coast in the Bay of Bengal as well as reforestation in the adjacent denuded hills._x000D_About 195,000 hectares of mangrove plantations have been raised so far and these new plantations are also playing an important role in carbon sequestration. More analysis needs to be carried out on_x000D_future GHG emissions and mitigation options for the LULUCF sector and when this is done, further consideration will be given to mitigation-adaptation synergies in this sector._x000D__x000D_ </v>
      </c>
      <c r="Q20" s="64"/>
      <c r="R20" s="64" t="s">
        <v>918</v>
      </c>
      <c r="S20" s="425"/>
      <c r="T20" s="300" t="s">
        <v>925</v>
      </c>
      <c r="U20" s="301" t="s">
        <v>925</v>
      </c>
      <c r="V20" s="303" t="s">
        <v>1009</v>
      </c>
      <c r="W20" s="258"/>
      <c r="X20" s="307" t="s">
        <v>924</v>
      </c>
      <c r="Y20" s="274"/>
      <c r="Z20" s="426">
        <v>1</v>
      </c>
      <c r="AA20" s="320">
        <f t="shared" si="4"/>
        <v>1</v>
      </c>
      <c r="AB20" s="320">
        <f t="shared" si="5"/>
        <v>0</v>
      </c>
      <c r="AC20" s="320">
        <f t="shared" si="6"/>
        <v>0</v>
      </c>
      <c r="AD20" s="320">
        <f t="shared" si="7"/>
        <v>0</v>
      </c>
      <c r="AE20" s="320">
        <f t="shared" si="8"/>
        <v>0</v>
      </c>
      <c r="AF20" s="320">
        <f t="shared" si="9"/>
        <v>0</v>
      </c>
      <c r="AG20" s="320">
        <f t="shared" si="10"/>
        <v>0</v>
      </c>
      <c r="AH20" s="427">
        <v>0</v>
      </c>
      <c r="AI20" s="320">
        <f t="shared" si="11"/>
        <v>0</v>
      </c>
      <c r="AJ20" s="320">
        <f t="shared" si="12"/>
        <v>0</v>
      </c>
      <c r="AK20" s="320">
        <f t="shared" si="13"/>
        <v>0</v>
      </c>
      <c r="AL20" s="320">
        <f t="shared" si="14"/>
        <v>0</v>
      </c>
      <c r="AM20" s="320">
        <f t="shared" si="15"/>
        <v>0</v>
      </c>
      <c r="AN20" s="320">
        <f t="shared" si="16"/>
        <v>0</v>
      </c>
      <c r="AO20" s="427" t="s">
        <v>221</v>
      </c>
      <c r="AP20" s="320">
        <f t="shared" si="17"/>
        <v>1</v>
      </c>
      <c r="AQ20" s="320">
        <f t="shared" si="18"/>
        <v>1</v>
      </c>
      <c r="AR20" s="320">
        <f t="shared" si="19"/>
        <v>0</v>
      </c>
      <c r="AS20" s="320">
        <f t="shared" si="20"/>
        <v>0</v>
      </c>
      <c r="AT20" s="320">
        <f t="shared" si="21"/>
        <v>0</v>
      </c>
      <c r="AU20" s="320">
        <f t="shared" si="22"/>
        <v>0</v>
      </c>
      <c r="AV20" s="427" t="s">
        <v>315</v>
      </c>
      <c r="AW20" s="320">
        <f t="shared" si="23"/>
        <v>1</v>
      </c>
      <c r="AX20" s="320">
        <f t="shared" si="24"/>
        <v>0</v>
      </c>
      <c r="AY20" s="320">
        <f t="shared" si="25"/>
        <v>1</v>
      </c>
      <c r="AZ20" s="320">
        <f t="shared" si="26"/>
        <v>0</v>
      </c>
      <c r="BA20" s="17">
        <v>0</v>
      </c>
      <c r="BB20" s="17" t="s">
        <v>834</v>
      </c>
      <c r="BC20" s="17">
        <v>0</v>
      </c>
      <c r="BD20" s="17">
        <v>0</v>
      </c>
      <c r="BE20" s="17">
        <v>0</v>
      </c>
      <c r="BF20" s="17">
        <v>0</v>
      </c>
      <c r="BG20" s="428">
        <f t="shared" si="52"/>
        <v>0</v>
      </c>
      <c r="BH20" s="17">
        <v>1</v>
      </c>
      <c r="BI20" s="17">
        <v>0</v>
      </c>
      <c r="BJ20" s="17" t="s">
        <v>834</v>
      </c>
      <c r="BK20" s="17"/>
      <c r="BL20" s="17">
        <v>1</v>
      </c>
      <c r="BM20" s="17" t="s">
        <v>1215</v>
      </c>
      <c r="BN20" s="320">
        <f t="shared" si="27"/>
        <v>1</v>
      </c>
      <c r="BO20" s="320">
        <f t="shared" si="28"/>
        <v>0</v>
      </c>
      <c r="BP20" s="427">
        <v>1</v>
      </c>
      <c r="BQ20" s="427" t="s">
        <v>1216</v>
      </c>
      <c r="BR20" s="320">
        <f t="shared" si="29"/>
        <v>1</v>
      </c>
      <c r="BS20" s="320">
        <f>IF(ISNUMBER(SEARCH("t",$BP20)),1,0)</f>
        <v>0</v>
      </c>
      <c r="BT20" s="427">
        <v>0</v>
      </c>
      <c r="BU20" s="320">
        <f t="shared" si="30"/>
        <v>0</v>
      </c>
      <c r="BV20" s="320">
        <f t="shared" si="31"/>
        <v>0</v>
      </c>
      <c r="BW20" s="320">
        <f t="shared" si="32"/>
        <v>0</v>
      </c>
      <c r="BX20" s="427" t="s">
        <v>315</v>
      </c>
      <c r="BY20" s="320">
        <f t="shared" si="33"/>
        <v>1</v>
      </c>
      <c r="BZ20" s="320">
        <f t="shared" si="34"/>
        <v>0</v>
      </c>
      <c r="CA20" s="320">
        <f t="shared" si="35"/>
        <v>1</v>
      </c>
      <c r="CB20" s="320">
        <f t="shared" si="36"/>
        <v>0</v>
      </c>
      <c r="CC20" s="427">
        <v>0</v>
      </c>
      <c r="CD20" s="320">
        <f t="shared" si="37"/>
        <v>0</v>
      </c>
      <c r="CE20" s="320">
        <f t="shared" si="38"/>
        <v>0</v>
      </c>
      <c r="CF20" s="320">
        <f t="shared" si="39"/>
        <v>0</v>
      </c>
      <c r="CG20" s="320">
        <f t="shared" si="40"/>
        <v>0</v>
      </c>
      <c r="CH20" s="427">
        <v>0</v>
      </c>
      <c r="CI20" s="427">
        <v>0</v>
      </c>
      <c r="CJ20" s="427">
        <v>0</v>
      </c>
      <c r="CK20" s="427">
        <v>0</v>
      </c>
      <c r="CL20" s="320">
        <f t="shared" si="53"/>
        <v>0</v>
      </c>
      <c r="CM20" s="320">
        <f t="shared" si="41"/>
        <v>0</v>
      </c>
      <c r="CN20" s="320">
        <f t="shared" si="42"/>
        <v>0</v>
      </c>
      <c r="CO20" s="320">
        <f t="shared" si="43"/>
        <v>0</v>
      </c>
      <c r="CP20" s="427">
        <v>1</v>
      </c>
      <c r="CQ20" s="427" t="s">
        <v>315</v>
      </c>
      <c r="CR20" s="320">
        <f t="shared" si="44"/>
        <v>1</v>
      </c>
      <c r="CS20" s="320">
        <f t="shared" si="45"/>
        <v>0</v>
      </c>
      <c r="CT20" s="320">
        <f t="shared" si="46"/>
        <v>0</v>
      </c>
      <c r="CU20" s="320">
        <f t="shared" si="54"/>
        <v>1</v>
      </c>
      <c r="CV20" s="427">
        <v>0</v>
      </c>
      <c r="CW20" s="17">
        <v>4</v>
      </c>
      <c r="CX20" s="320">
        <f t="shared" si="47"/>
        <v>0</v>
      </c>
      <c r="CY20" s="320">
        <f t="shared" si="48"/>
        <v>0</v>
      </c>
      <c r="CZ20" s="320">
        <f t="shared" si="49"/>
        <v>0</v>
      </c>
      <c r="DA20" s="17">
        <v>1</v>
      </c>
      <c r="DB20" s="17">
        <v>0</v>
      </c>
      <c r="DC20" s="17">
        <v>1</v>
      </c>
      <c r="DD20" s="31"/>
      <c r="DE20" s="321" t="s">
        <v>392</v>
      </c>
      <c r="DF20" s="321" t="s">
        <v>393</v>
      </c>
      <c r="DG20" s="321" t="s">
        <v>394</v>
      </c>
      <c r="DH20" s="321" t="s">
        <v>392</v>
      </c>
      <c r="DI20" s="321"/>
      <c r="DJ20" s="321" t="s">
        <v>395</v>
      </c>
      <c r="DK20" s="321" t="s">
        <v>396</v>
      </c>
      <c r="DL20" s="321" t="s">
        <v>397</v>
      </c>
      <c r="DM20" s="321" t="s">
        <v>398</v>
      </c>
      <c r="DN20" s="321">
        <v>0</v>
      </c>
      <c r="DO20" s="321">
        <v>0</v>
      </c>
      <c r="DP20" s="322" t="s">
        <v>399</v>
      </c>
      <c r="DQ20" s="290"/>
      <c r="DR20" s="239">
        <f>SUM(DS20:DX20)/6</f>
        <v>0.1774355877616747</v>
      </c>
      <c r="DS20" s="429">
        <f t="shared" si="50"/>
        <v>0.21739130434782608</v>
      </c>
      <c r="DT20" s="429">
        <f>SUM(BA20:BE20,BG20)/5</f>
        <v>0</v>
      </c>
      <c r="DU20" s="429">
        <f>SUM(BI20,BO20,BS20,BU20:BW20)/6</f>
        <v>0</v>
      </c>
      <c r="DV20" s="429">
        <f>SUM(BY20-CB20,CD20-CG20)/8</f>
        <v>0.125</v>
      </c>
      <c r="DW20" s="429">
        <f>SUM(CH20:CJ20,CL20:CO20,BN20,BR20)/9</f>
        <v>0.22222222222222221</v>
      </c>
      <c r="DX20" s="429">
        <f>SUM(CP20,CR20:CV20)/6</f>
        <v>0.5</v>
      </c>
      <c r="DY20" s="429"/>
      <c r="DZ20" s="137" t="s">
        <v>728</v>
      </c>
      <c r="EA20" s="135"/>
      <c r="EB20" s="135" t="s">
        <v>762</v>
      </c>
      <c r="EC20" s="137" t="s">
        <v>763</v>
      </c>
      <c r="ED20" s="124">
        <v>2</v>
      </c>
      <c r="EH20" s="44">
        <v>0</v>
      </c>
      <c r="EI20" s="45"/>
      <c r="EJ20" s="33" t="b">
        <f t="shared" si="51"/>
        <v>0</v>
      </c>
      <c r="EK20" s="42"/>
      <c r="EL20" s="42"/>
      <c r="EM20" s="42"/>
      <c r="EN20" s="439"/>
      <c r="EO20" s="439"/>
      <c r="EP20" s="439"/>
      <c r="EQ20" s="38"/>
      <c r="ER20" s="431"/>
      <c r="ES20" s="440"/>
      <c r="ET20" s="431"/>
      <c r="EU20" s="440"/>
      <c r="EV20" s="440"/>
      <c r="EZ20" s="393" t="s">
        <v>32</v>
      </c>
      <c r="FA20" s="393" t="s">
        <v>32</v>
      </c>
      <c r="FB20" s="389">
        <v>1494</v>
      </c>
      <c r="FC20" s="389">
        <v>1468</v>
      </c>
      <c r="FD20" s="389">
        <v>1455</v>
      </c>
      <c r="FE20" s="389">
        <v>1442</v>
      </c>
      <c r="FF20" s="389">
        <v>1429</v>
      </c>
      <c r="FG20" s="390">
        <v>-1.7711171662125342E-3</v>
      </c>
      <c r="FH20" s="390">
        <v>-1.7869415807560136E-3</v>
      </c>
      <c r="FI20" s="390">
        <v>-1.8030513176144243E-3</v>
      </c>
      <c r="FJ20" s="391">
        <v>9.0152565880721458E-3</v>
      </c>
      <c r="FK20" s="391" t="s">
        <v>1386</v>
      </c>
      <c r="FL20" s="31" t="s">
        <v>1379</v>
      </c>
      <c r="FN20" s="128" t="s">
        <v>1426</v>
      </c>
      <c r="FO20" s="128" t="s">
        <v>1427</v>
      </c>
      <c r="FP20" s="128"/>
    </row>
    <row r="21" spans="1:179" ht="22" hidden="1" customHeight="1" x14ac:dyDescent="0.2">
      <c r="A21" s="13" t="s">
        <v>16</v>
      </c>
      <c r="B21" s="19" t="s">
        <v>17</v>
      </c>
      <c r="C21" s="19"/>
      <c r="D21" s="19"/>
      <c r="E21" s="128" t="s">
        <v>33</v>
      </c>
      <c r="F21" s="15"/>
      <c r="G21" s="15" t="s">
        <v>634</v>
      </c>
      <c r="H21" s="95">
        <f t="shared" si="55"/>
        <v>1</v>
      </c>
      <c r="I21" s="95">
        <f t="shared" si="1"/>
        <v>0</v>
      </c>
      <c r="J21" s="95"/>
      <c r="K21" s="256">
        <f t="shared" si="2"/>
        <v>1</v>
      </c>
      <c r="L21" s="278">
        <v>0</v>
      </c>
      <c r="M21" s="25"/>
      <c r="N21" s="89"/>
      <c r="O21" s="144" t="str">
        <f t="shared" si="3"/>
        <v>_x000D__x000D_</v>
      </c>
      <c r="P21" s="144"/>
      <c r="Q21" s="425"/>
      <c r="R21" s="64" t="s">
        <v>918</v>
      </c>
      <c r="S21" s="425"/>
      <c r="T21" s="300" t="s">
        <v>834</v>
      </c>
      <c r="U21" s="301" t="s">
        <v>834</v>
      </c>
      <c r="V21" s="301" t="s">
        <v>834</v>
      </c>
      <c r="W21" s="258"/>
      <c r="X21" s="307" t="s">
        <v>834</v>
      </c>
      <c r="Y21" s="274"/>
      <c r="Z21" s="426"/>
      <c r="AA21" s="320">
        <f t="shared" si="4"/>
        <v>0</v>
      </c>
      <c r="AB21" s="320">
        <f t="shared" si="5"/>
        <v>0</v>
      </c>
      <c r="AC21" s="320">
        <f t="shared" si="6"/>
        <v>0</v>
      </c>
      <c r="AD21" s="320">
        <f t="shared" si="7"/>
        <v>0</v>
      </c>
      <c r="AE21" s="320">
        <f t="shared" si="8"/>
        <v>0</v>
      </c>
      <c r="AF21" s="320">
        <f t="shared" si="9"/>
        <v>0</v>
      </c>
      <c r="AG21" s="320">
        <f t="shared" si="10"/>
        <v>0</v>
      </c>
      <c r="AH21" s="427"/>
      <c r="AI21" s="320">
        <f t="shared" si="11"/>
        <v>0</v>
      </c>
      <c r="AJ21" s="320">
        <f t="shared" si="12"/>
        <v>0</v>
      </c>
      <c r="AK21" s="320">
        <f t="shared" si="13"/>
        <v>0</v>
      </c>
      <c r="AL21" s="320">
        <f t="shared" si="14"/>
        <v>0</v>
      </c>
      <c r="AM21" s="320">
        <f t="shared" si="15"/>
        <v>0</v>
      </c>
      <c r="AN21" s="320">
        <f t="shared" si="16"/>
        <v>0</v>
      </c>
      <c r="AO21" s="427"/>
      <c r="AP21" s="320">
        <f t="shared" si="17"/>
        <v>0</v>
      </c>
      <c r="AQ21" s="320">
        <f t="shared" si="18"/>
        <v>0</v>
      </c>
      <c r="AR21" s="320">
        <f t="shared" si="19"/>
        <v>0</v>
      </c>
      <c r="AS21" s="320">
        <f t="shared" si="20"/>
        <v>0</v>
      </c>
      <c r="AT21" s="320">
        <f t="shared" si="21"/>
        <v>0</v>
      </c>
      <c r="AU21" s="320">
        <f t="shared" si="22"/>
        <v>0</v>
      </c>
      <c r="AV21" s="427"/>
      <c r="AW21" s="320">
        <f t="shared" si="23"/>
        <v>0</v>
      </c>
      <c r="AX21" s="320">
        <f t="shared" si="24"/>
        <v>0</v>
      </c>
      <c r="AY21" s="320">
        <f t="shared" si="25"/>
        <v>0</v>
      </c>
      <c r="AZ21" s="320">
        <f t="shared" si="26"/>
        <v>0</v>
      </c>
      <c r="BA21" s="17"/>
      <c r="BB21" s="17" t="s">
        <v>834</v>
      </c>
      <c r="BC21" s="17"/>
      <c r="BD21" s="17"/>
      <c r="BE21" s="17"/>
      <c r="BF21" s="17"/>
      <c r="BG21" s="428">
        <f t="shared" si="52"/>
        <v>0</v>
      </c>
      <c r="BH21" s="17"/>
      <c r="BI21" s="17"/>
      <c r="BJ21" s="17"/>
      <c r="BK21" s="17"/>
      <c r="BL21" s="17"/>
      <c r="BM21" s="17"/>
      <c r="BN21" s="320">
        <f t="shared" si="27"/>
        <v>0</v>
      </c>
      <c r="BO21" s="320">
        <f t="shared" si="28"/>
        <v>0</v>
      </c>
      <c r="BP21" s="427"/>
      <c r="BQ21" s="427"/>
      <c r="BR21" s="320">
        <f t="shared" si="29"/>
        <v>0</v>
      </c>
      <c r="BS21" s="320">
        <f>IF(ISNUMBER(SEARCH("1",$BP21)),1,0)</f>
        <v>0</v>
      </c>
      <c r="BT21" s="427"/>
      <c r="BU21" s="320">
        <f t="shared" si="30"/>
        <v>0</v>
      </c>
      <c r="BV21" s="320">
        <f t="shared" si="31"/>
        <v>0</v>
      </c>
      <c r="BW21" s="320">
        <f t="shared" si="32"/>
        <v>0</v>
      </c>
      <c r="BX21" s="427"/>
      <c r="BY21" s="320">
        <f t="shared" si="33"/>
        <v>0</v>
      </c>
      <c r="BZ21" s="320">
        <f t="shared" si="34"/>
        <v>0</v>
      </c>
      <c r="CA21" s="320">
        <f t="shared" si="35"/>
        <v>0</v>
      </c>
      <c r="CB21" s="320">
        <f t="shared" si="36"/>
        <v>0</v>
      </c>
      <c r="CC21" s="427"/>
      <c r="CD21" s="320">
        <f t="shared" si="37"/>
        <v>0</v>
      </c>
      <c r="CE21" s="320">
        <f t="shared" si="38"/>
        <v>0</v>
      </c>
      <c r="CF21" s="320">
        <f t="shared" si="39"/>
        <v>0</v>
      </c>
      <c r="CG21" s="320">
        <f t="shared" si="40"/>
        <v>0</v>
      </c>
      <c r="CH21" s="427"/>
      <c r="CI21" s="427"/>
      <c r="CJ21" s="427"/>
      <c r="CK21" s="427"/>
      <c r="CL21" s="320">
        <f t="shared" si="53"/>
        <v>0</v>
      </c>
      <c r="CM21" s="320">
        <f t="shared" si="41"/>
        <v>0</v>
      </c>
      <c r="CN21" s="320">
        <f t="shared" si="42"/>
        <v>0</v>
      </c>
      <c r="CO21" s="320">
        <f t="shared" si="43"/>
        <v>0</v>
      </c>
      <c r="CP21" s="427"/>
      <c r="CQ21" s="427"/>
      <c r="CR21" s="320">
        <f t="shared" si="44"/>
        <v>0</v>
      </c>
      <c r="CS21" s="320">
        <f t="shared" si="45"/>
        <v>0</v>
      </c>
      <c r="CT21" s="320">
        <f t="shared" si="46"/>
        <v>0</v>
      </c>
      <c r="CU21" s="320">
        <f t="shared" si="54"/>
        <v>0</v>
      </c>
      <c r="CV21" s="427"/>
      <c r="CW21" s="17"/>
      <c r="CX21" s="320">
        <f t="shared" si="47"/>
        <v>0</v>
      </c>
      <c r="CY21" s="320">
        <f t="shared" si="48"/>
        <v>0</v>
      </c>
      <c r="CZ21" s="320">
        <f t="shared" si="49"/>
        <v>0</v>
      </c>
      <c r="DA21" s="17"/>
      <c r="DB21" s="17"/>
      <c r="DC21" s="17"/>
      <c r="DD21" s="31"/>
      <c r="DE21" s="323"/>
      <c r="DF21" s="323"/>
      <c r="DG21" s="323"/>
      <c r="DH21" s="323"/>
      <c r="DI21" s="323"/>
      <c r="DJ21" s="323"/>
      <c r="DK21" s="323"/>
      <c r="DL21" s="323"/>
      <c r="DM21" s="323"/>
      <c r="DN21" s="323"/>
      <c r="DO21" s="323"/>
      <c r="DP21" s="324"/>
      <c r="DQ21" s="288"/>
      <c r="DR21" s="242"/>
      <c r="DS21" s="429">
        <f t="shared" si="50"/>
        <v>0</v>
      </c>
      <c r="DT21" s="438"/>
      <c r="DU21" s="59"/>
      <c r="DV21" s="59"/>
      <c r="DW21" s="59"/>
      <c r="DX21" s="59"/>
      <c r="DY21" s="59"/>
      <c r="DZ21" s="134"/>
      <c r="EA21" s="134"/>
      <c r="EB21" s="134"/>
      <c r="EC21" s="134"/>
      <c r="ED21" s="123"/>
      <c r="EH21" s="46"/>
      <c r="EI21" s="45"/>
      <c r="EJ21" s="33" t="b">
        <f t="shared" si="51"/>
        <v>0</v>
      </c>
      <c r="EK21" s="42"/>
      <c r="EL21" s="42"/>
      <c r="EM21" s="42"/>
      <c r="EN21" s="439"/>
      <c r="EO21" s="439"/>
      <c r="EP21" s="439"/>
      <c r="EQ21" s="47"/>
      <c r="ER21" s="431"/>
      <c r="ES21" s="440"/>
      <c r="ET21" s="431"/>
      <c r="EU21" s="440"/>
      <c r="EV21" s="440"/>
      <c r="EZ21" s="393" t="s">
        <v>33</v>
      </c>
      <c r="FA21" s="393" t="s">
        <v>33</v>
      </c>
      <c r="FB21" s="389">
        <v>6.3</v>
      </c>
      <c r="FC21" s="389">
        <v>6.3</v>
      </c>
      <c r="FD21" s="389">
        <v>6.3</v>
      </c>
      <c r="FE21" s="389">
        <v>6.3</v>
      </c>
      <c r="FF21" s="389">
        <v>6.3</v>
      </c>
      <c r="FG21" s="390">
        <v>0</v>
      </c>
      <c r="FH21" s="390">
        <v>0</v>
      </c>
      <c r="FI21" s="390">
        <v>0</v>
      </c>
      <c r="FJ21" s="391">
        <v>0</v>
      </c>
      <c r="FK21" s="391" t="s">
        <v>1386</v>
      </c>
      <c r="FL21" s="31" t="s">
        <v>1387</v>
      </c>
      <c r="FN21" s="128" t="s">
        <v>1428</v>
      </c>
      <c r="FO21" s="128" t="s">
        <v>1429</v>
      </c>
      <c r="FP21" s="128"/>
    </row>
    <row r="22" spans="1:179" ht="22" hidden="1" customHeight="1" x14ac:dyDescent="0.2">
      <c r="A22" s="13" t="s">
        <v>7</v>
      </c>
      <c r="B22" s="14" t="s">
        <v>34</v>
      </c>
      <c r="C22" s="9" t="s">
        <v>1028</v>
      </c>
      <c r="D22" s="14"/>
      <c r="E22" s="128" t="s">
        <v>35</v>
      </c>
      <c r="F22" s="15"/>
      <c r="G22" s="15" t="s">
        <v>635</v>
      </c>
      <c r="H22" s="95">
        <f t="shared" si="55"/>
        <v>0</v>
      </c>
      <c r="I22" s="95">
        <f t="shared" si="1"/>
        <v>0</v>
      </c>
      <c r="J22" s="95"/>
      <c r="K22" s="256">
        <f t="shared" si="2"/>
        <v>0</v>
      </c>
      <c r="L22" s="278">
        <v>0</v>
      </c>
      <c r="M22" s="25"/>
      <c r="N22" s="89"/>
      <c r="O22" s="144" t="str">
        <f t="shared" si="3"/>
        <v>_x000D__x000D_</v>
      </c>
      <c r="P22" s="144" t="str">
        <f>CONCATENATE(V22,R22,X22)</f>
        <v>_x000D__x000D_</v>
      </c>
      <c r="Q22" s="222"/>
      <c r="R22" s="64" t="s">
        <v>918</v>
      </c>
      <c r="S22" s="425"/>
      <c r="T22" s="300" t="s">
        <v>868</v>
      </c>
      <c r="U22" s="301" t="s">
        <v>834</v>
      </c>
      <c r="V22" s="301" t="s">
        <v>834</v>
      </c>
      <c r="W22" s="258"/>
      <c r="X22" s="307" t="s">
        <v>834</v>
      </c>
      <c r="Y22" s="274"/>
      <c r="Z22" s="426"/>
      <c r="AA22" s="320">
        <f t="shared" si="4"/>
        <v>0</v>
      </c>
      <c r="AB22" s="320">
        <f t="shared" si="5"/>
        <v>0</v>
      </c>
      <c r="AC22" s="320">
        <f t="shared" si="6"/>
        <v>0</v>
      </c>
      <c r="AD22" s="320">
        <f t="shared" si="7"/>
        <v>0</v>
      </c>
      <c r="AE22" s="320">
        <f t="shared" si="8"/>
        <v>0</v>
      </c>
      <c r="AF22" s="320">
        <f t="shared" si="9"/>
        <v>0</v>
      </c>
      <c r="AG22" s="320">
        <f t="shared" si="10"/>
        <v>0</v>
      </c>
      <c r="AH22" s="427"/>
      <c r="AI22" s="320">
        <f t="shared" si="11"/>
        <v>0</v>
      </c>
      <c r="AJ22" s="320">
        <f t="shared" si="12"/>
        <v>0</v>
      </c>
      <c r="AK22" s="320">
        <f t="shared" si="13"/>
        <v>0</v>
      </c>
      <c r="AL22" s="320">
        <f t="shared" si="14"/>
        <v>0</v>
      </c>
      <c r="AM22" s="320">
        <f t="shared" si="15"/>
        <v>0</v>
      </c>
      <c r="AN22" s="320">
        <f t="shared" si="16"/>
        <v>0</v>
      </c>
      <c r="AO22" s="427"/>
      <c r="AP22" s="320">
        <f t="shared" si="17"/>
        <v>0</v>
      </c>
      <c r="AQ22" s="320">
        <f t="shared" si="18"/>
        <v>0</v>
      </c>
      <c r="AR22" s="320">
        <f t="shared" si="19"/>
        <v>0</v>
      </c>
      <c r="AS22" s="320">
        <f t="shared" si="20"/>
        <v>0</v>
      </c>
      <c r="AT22" s="320">
        <f t="shared" si="21"/>
        <v>0</v>
      </c>
      <c r="AU22" s="320">
        <f t="shared" si="22"/>
        <v>0</v>
      </c>
      <c r="AV22" s="427"/>
      <c r="AW22" s="320">
        <f t="shared" si="23"/>
        <v>0</v>
      </c>
      <c r="AX22" s="320">
        <f t="shared" si="24"/>
        <v>0</v>
      </c>
      <c r="AY22" s="320">
        <f t="shared" si="25"/>
        <v>0</v>
      </c>
      <c r="AZ22" s="320">
        <f t="shared" si="26"/>
        <v>0</v>
      </c>
      <c r="BA22" s="17">
        <v>1</v>
      </c>
      <c r="BB22" s="17" t="s">
        <v>868</v>
      </c>
      <c r="BC22" s="17"/>
      <c r="BD22" s="17"/>
      <c r="BE22" s="17"/>
      <c r="BF22" s="17"/>
      <c r="BG22" s="428">
        <f t="shared" si="52"/>
        <v>0</v>
      </c>
      <c r="BH22" s="17"/>
      <c r="BI22" s="17"/>
      <c r="BJ22" s="17"/>
      <c r="BK22" s="17"/>
      <c r="BL22" s="17"/>
      <c r="BM22" s="17"/>
      <c r="BN22" s="320">
        <f t="shared" si="27"/>
        <v>0</v>
      </c>
      <c r="BO22" s="320">
        <f t="shared" si="28"/>
        <v>0</v>
      </c>
      <c r="BP22" s="427"/>
      <c r="BQ22" s="427"/>
      <c r="BR22" s="320">
        <f t="shared" ref="BR22:BS53" si="56">IF(ISNUMBER(SEARCH("1",$BP22)),1,0)</f>
        <v>0</v>
      </c>
      <c r="BS22" s="320">
        <f>IF(ISNUMBER(SEARCH("1",$BP22)),1,0)</f>
        <v>0</v>
      </c>
      <c r="BT22" s="427"/>
      <c r="BU22" s="320">
        <f t="shared" si="30"/>
        <v>0</v>
      </c>
      <c r="BV22" s="320">
        <f t="shared" si="31"/>
        <v>0</v>
      </c>
      <c r="BW22" s="320">
        <f t="shared" si="32"/>
        <v>0</v>
      </c>
      <c r="BX22" s="427"/>
      <c r="BY22" s="320">
        <f t="shared" si="33"/>
        <v>0</v>
      </c>
      <c r="BZ22" s="320">
        <f t="shared" si="34"/>
        <v>0</v>
      </c>
      <c r="CA22" s="320">
        <f t="shared" si="35"/>
        <v>0</v>
      </c>
      <c r="CB22" s="320">
        <f t="shared" si="36"/>
        <v>0</v>
      </c>
      <c r="CC22" s="427"/>
      <c r="CD22" s="320">
        <f t="shared" si="37"/>
        <v>0</v>
      </c>
      <c r="CE22" s="320">
        <f t="shared" si="38"/>
        <v>0</v>
      </c>
      <c r="CF22" s="320">
        <f t="shared" si="39"/>
        <v>0</v>
      </c>
      <c r="CG22" s="320">
        <f t="shared" si="40"/>
        <v>0</v>
      </c>
      <c r="CH22" s="427"/>
      <c r="CI22" s="427"/>
      <c r="CJ22" s="427"/>
      <c r="CK22" s="427"/>
      <c r="CL22" s="320">
        <f t="shared" si="53"/>
        <v>0</v>
      </c>
      <c r="CM22" s="320">
        <f t="shared" si="41"/>
        <v>0</v>
      </c>
      <c r="CN22" s="320">
        <f t="shared" si="42"/>
        <v>0</v>
      </c>
      <c r="CO22" s="320">
        <f t="shared" si="43"/>
        <v>0</v>
      </c>
      <c r="CP22" s="427"/>
      <c r="CQ22" s="427"/>
      <c r="CR22" s="320">
        <f t="shared" si="44"/>
        <v>0</v>
      </c>
      <c r="CS22" s="320">
        <f t="shared" si="45"/>
        <v>0</v>
      </c>
      <c r="CT22" s="320">
        <f t="shared" si="46"/>
        <v>0</v>
      </c>
      <c r="CU22" s="320">
        <f t="shared" si="54"/>
        <v>0</v>
      </c>
      <c r="CV22" s="427"/>
      <c r="CW22" s="17"/>
      <c r="CX22" s="320">
        <f t="shared" si="47"/>
        <v>0</v>
      </c>
      <c r="CY22" s="320">
        <f t="shared" si="48"/>
        <v>0</v>
      </c>
      <c r="CZ22" s="320">
        <f t="shared" si="49"/>
        <v>0</v>
      </c>
      <c r="DA22" s="17"/>
      <c r="DB22" s="17"/>
      <c r="DC22" s="17"/>
      <c r="DD22" s="31"/>
      <c r="DE22" s="321"/>
      <c r="DF22" s="321"/>
      <c r="DG22" s="321"/>
      <c r="DH22" s="321"/>
      <c r="DI22" s="321"/>
      <c r="DJ22" s="321"/>
      <c r="DK22" s="321"/>
      <c r="DL22" s="321"/>
      <c r="DM22" s="321"/>
      <c r="DN22" s="321"/>
      <c r="DO22" s="321"/>
      <c r="DP22" s="321"/>
      <c r="DQ22" s="385"/>
      <c r="DR22" s="241"/>
      <c r="DS22" s="429">
        <f t="shared" si="50"/>
        <v>0</v>
      </c>
      <c r="DT22" s="438"/>
      <c r="DU22" s="59"/>
      <c r="DV22" s="59"/>
      <c r="DW22" s="59"/>
      <c r="DX22" s="59"/>
      <c r="DY22" s="59"/>
      <c r="DZ22" s="134"/>
      <c r="EA22" s="134"/>
      <c r="EB22" s="134"/>
      <c r="EC22" s="134"/>
      <c r="ED22" s="123"/>
      <c r="EH22" s="46">
        <v>0</v>
      </c>
      <c r="EI22" s="45"/>
      <c r="EJ22" s="33" t="b">
        <f t="shared" si="51"/>
        <v>0</v>
      </c>
      <c r="EK22" s="439"/>
      <c r="EL22" s="439"/>
      <c r="EM22" s="439"/>
      <c r="EN22" s="439"/>
      <c r="EO22" s="439"/>
      <c r="EP22" s="439"/>
      <c r="EQ22" s="47"/>
      <c r="ER22" s="227">
        <v>1</v>
      </c>
      <c r="ES22" s="47"/>
      <c r="ET22" s="445">
        <v>1</v>
      </c>
      <c r="EU22" s="78"/>
      <c r="EV22" s="78"/>
      <c r="EZ22" s="393" t="s">
        <v>35</v>
      </c>
      <c r="FA22" s="393" t="s">
        <v>35</v>
      </c>
      <c r="FB22" s="389">
        <v>7780</v>
      </c>
      <c r="FC22" s="389">
        <v>8273</v>
      </c>
      <c r="FD22" s="389">
        <v>8436</v>
      </c>
      <c r="FE22" s="389">
        <v>8534</v>
      </c>
      <c r="FF22" s="389">
        <v>8633.5</v>
      </c>
      <c r="FG22" s="390">
        <v>3.9405294330956122E-3</v>
      </c>
      <c r="FH22" s="390">
        <v>2.3233760075865337E-3</v>
      </c>
      <c r="FI22" s="390">
        <v>2.3318490742910711E-3</v>
      </c>
      <c r="FJ22" s="391" t="s">
        <v>1389</v>
      </c>
      <c r="FK22" s="391">
        <v>3.6468770775243864E-3</v>
      </c>
      <c r="FL22" s="31" t="s">
        <v>1396</v>
      </c>
      <c r="FN22" s="128" t="s">
        <v>1430</v>
      </c>
      <c r="FO22" s="128" t="s">
        <v>1431</v>
      </c>
      <c r="FP22" s="128"/>
    </row>
    <row r="23" spans="1:179" ht="22" hidden="1" customHeight="1" x14ac:dyDescent="0.2">
      <c r="A23" s="13" t="s">
        <v>7</v>
      </c>
      <c r="B23" s="14" t="s">
        <v>27</v>
      </c>
      <c r="C23" s="14"/>
      <c r="D23" s="14"/>
      <c r="E23" s="128" t="s">
        <v>36</v>
      </c>
      <c r="F23" s="15"/>
      <c r="G23" s="15" t="s">
        <v>635</v>
      </c>
      <c r="H23" s="95">
        <f t="shared" si="55"/>
        <v>0</v>
      </c>
      <c r="I23" s="95">
        <f t="shared" si="1"/>
        <v>2</v>
      </c>
      <c r="J23" s="95"/>
      <c r="K23" s="256">
        <f t="shared" si="2"/>
        <v>2</v>
      </c>
      <c r="L23" s="278" t="s">
        <v>678</v>
      </c>
      <c r="M23" s="25">
        <v>1</v>
      </c>
      <c r="N23" s="89"/>
      <c r="O23" s="144" t="str">
        <f t="shared" si="3"/>
        <v>_x000D__x000D_</v>
      </c>
      <c r="P23" s="144"/>
      <c r="Q23" s="425"/>
      <c r="R23" s="64" t="s">
        <v>918</v>
      </c>
      <c r="S23" s="425"/>
      <c r="T23" s="300" t="s">
        <v>869</v>
      </c>
      <c r="U23" s="301" t="s">
        <v>834</v>
      </c>
      <c r="V23" s="301" t="s">
        <v>834</v>
      </c>
      <c r="W23" s="258"/>
      <c r="X23" s="307" t="s">
        <v>834</v>
      </c>
      <c r="Y23" s="274"/>
      <c r="Z23" s="426"/>
      <c r="AA23" s="320">
        <f t="shared" si="4"/>
        <v>0</v>
      </c>
      <c r="AB23" s="320">
        <f t="shared" si="5"/>
        <v>0</v>
      </c>
      <c r="AC23" s="320">
        <f t="shared" si="6"/>
        <v>0</v>
      </c>
      <c r="AD23" s="320">
        <f t="shared" si="7"/>
        <v>0</v>
      </c>
      <c r="AE23" s="320">
        <f t="shared" si="8"/>
        <v>0</v>
      </c>
      <c r="AF23" s="320">
        <f t="shared" si="9"/>
        <v>0</v>
      </c>
      <c r="AG23" s="320">
        <f t="shared" si="10"/>
        <v>0</v>
      </c>
      <c r="AH23" s="427"/>
      <c r="AI23" s="320">
        <f t="shared" si="11"/>
        <v>0</v>
      </c>
      <c r="AJ23" s="320">
        <f t="shared" si="12"/>
        <v>0</v>
      </c>
      <c r="AK23" s="320">
        <f t="shared" si="13"/>
        <v>0</v>
      </c>
      <c r="AL23" s="320">
        <f t="shared" si="14"/>
        <v>0</v>
      </c>
      <c r="AM23" s="320">
        <f t="shared" si="15"/>
        <v>0</v>
      </c>
      <c r="AN23" s="320">
        <f t="shared" si="16"/>
        <v>0</v>
      </c>
      <c r="AO23" s="427"/>
      <c r="AP23" s="320">
        <f t="shared" si="17"/>
        <v>0</v>
      </c>
      <c r="AQ23" s="320">
        <f t="shared" si="18"/>
        <v>0</v>
      </c>
      <c r="AR23" s="320">
        <f t="shared" si="19"/>
        <v>0</v>
      </c>
      <c r="AS23" s="320">
        <f t="shared" si="20"/>
        <v>0</v>
      </c>
      <c r="AT23" s="320">
        <f t="shared" si="21"/>
        <v>0</v>
      </c>
      <c r="AU23" s="320">
        <f t="shared" si="22"/>
        <v>0</v>
      </c>
      <c r="AV23" s="427"/>
      <c r="AW23" s="320">
        <f t="shared" si="23"/>
        <v>0</v>
      </c>
      <c r="AX23" s="320">
        <f t="shared" si="24"/>
        <v>0</v>
      </c>
      <c r="AY23" s="320">
        <f t="shared" si="25"/>
        <v>0</v>
      </c>
      <c r="AZ23" s="320">
        <f t="shared" si="26"/>
        <v>0</v>
      </c>
      <c r="BA23" s="17">
        <v>1</v>
      </c>
      <c r="BB23" s="17" t="s">
        <v>869</v>
      </c>
      <c r="BC23" s="17"/>
      <c r="BD23" s="17"/>
      <c r="BE23" s="17"/>
      <c r="BF23" s="17"/>
      <c r="BG23" s="428">
        <f t="shared" si="52"/>
        <v>0</v>
      </c>
      <c r="BH23" s="17"/>
      <c r="BI23" s="17"/>
      <c r="BJ23" s="17"/>
      <c r="BK23" s="17"/>
      <c r="BL23" s="17"/>
      <c r="BM23" s="17"/>
      <c r="BN23" s="320">
        <f t="shared" si="27"/>
        <v>0</v>
      </c>
      <c r="BO23" s="320">
        <f t="shared" si="28"/>
        <v>0</v>
      </c>
      <c r="BP23" s="427"/>
      <c r="BQ23" s="427"/>
      <c r="BR23" s="320">
        <f t="shared" si="56"/>
        <v>0</v>
      </c>
      <c r="BS23" s="320">
        <f>IF(ISNUMBER(SEARCH("1",$BP23)),1,0)</f>
        <v>0</v>
      </c>
      <c r="BT23" s="427"/>
      <c r="BU23" s="320">
        <f t="shared" si="30"/>
        <v>0</v>
      </c>
      <c r="BV23" s="320">
        <f t="shared" si="31"/>
        <v>0</v>
      </c>
      <c r="BW23" s="320">
        <f t="shared" si="32"/>
        <v>0</v>
      </c>
      <c r="BX23" s="427"/>
      <c r="BY23" s="320">
        <f t="shared" si="33"/>
        <v>0</v>
      </c>
      <c r="BZ23" s="320">
        <f t="shared" si="34"/>
        <v>0</v>
      </c>
      <c r="CA23" s="320">
        <f t="shared" si="35"/>
        <v>0</v>
      </c>
      <c r="CB23" s="320">
        <f t="shared" si="36"/>
        <v>0</v>
      </c>
      <c r="CC23" s="427"/>
      <c r="CD23" s="320">
        <f t="shared" si="37"/>
        <v>0</v>
      </c>
      <c r="CE23" s="320">
        <f t="shared" si="38"/>
        <v>0</v>
      </c>
      <c r="CF23" s="320">
        <f t="shared" si="39"/>
        <v>0</v>
      </c>
      <c r="CG23" s="320">
        <f t="shared" si="40"/>
        <v>0</v>
      </c>
      <c r="CH23" s="427"/>
      <c r="CI23" s="427"/>
      <c r="CJ23" s="427"/>
      <c r="CK23" s="427"/>
      <c r="CL23" s="320">
        <f t="shared" si="53"/>
        <v>0</v>
      </c>
      <c r="CM23" s="320">
        <f t="shared" si="41"/>
        <v>0</v>
      </c>
      <c r="CN23" s="320">
        <f t="shared" si="42"/>
        <v>0</v>
      </c>
      <c r="CO23" s="320">
        <f t="shared" si="43"/>
        <v>0</v>
      </c>
      <c r="CP23" s="427"/>
      <c r="CQ23" s="427"/>
      <c r="CR23" s="320">
        <f t="shared" si="44"/>
        <v>0</v>
      </c>
      <c r="CS23" s="320">
        <f t="shared" si="45"/>
        <v>0</v>
      </c>
      <c r="CT23" s="320">
        <f t="shared" si="46"/>
        <v>0</v>
      </c>
      <c r="CU23" s="320">
        <f t="shared" si="54"/>
        <v>0</v>
      </c>
      <c r="CV23" s="427"/>
      <c r="CW23" s="17"/>
      <c r="CX23" s="320">
        <f t="shared" si="47"/>
        <v>0</v>
      </c>
      <c r="CY23" s="320">
        <f t="shared" si="48"/>
        <v>0</v>
      </c>
      <c r="CZ23" s="320">
        <f t="shared" si="49"/>
        <v>0</v>
      </c>
      <c r="DA23" s="17"/>
      <c r="DB23" s="17"/>
      <c r="DC23" s="17"/>
      <c r="DD23" s="31"/>
      <c r="DE23" s="323"/>
      <c r="DF23" s="323"/>
      <c r="DG23" s="323"/>
      <c r="DH23" s="323"/>
      <c r="DI23" s="323"/>
      <c r="DJ23" s="323"/>
      <c r="DK23" s="323"/>
      <c r="DL23" s="323"/>
      <c r="DM23" s="323"/>
      <c r="DN23" s="323"/>
      <c r="DO23" s="323"/>
      <c r="DP23" s="324"/>
      <c r="DQ23" s="385"/>
      <c r="DR23" s="242"/>
      <c r="DS23" s="429">
        <f t="shared" si="50"/>
        <v>0</v>
      </c>
      <c r="DT23" s="438"/>
      <c r="DU23" s="59"/>
      <c r="DV23" s="59"/>
      <c r="DW23" s="59"/>
      <c r="DX23" s="59"/>
      <c r="DY23" s="59"/>
      <c r="DZ23" s="134"/>
      <c r="EA23" s="134"/>
      <c r="EB23" s="134"/>
      <c r="EC23" s="134"/>
      <c r="ED23" s="123"/>
      <c r="EG23" s="81"/>
      <c r="EH23" s="46">
        <v>0</v>
      </c>
      <c r="EI23" s="45"/>
      <c r="EJ23" s="33" t="e">
        <f t="shared" si="51"/>
        <v>#VALUE!</v>
      </c>
      <c r="EK23" s="42"/>
      <c r="EL23" s="42"/>
      <c r="EM23" s="42"/>
      <c r="EN23" s="439"/>
      <c r="EO23" s="439"/>
      <c r="EP23" s="439"/>
      <c r="EQ23" s="47"/>
      <c r="ER23" s="431">
        <v>1</v>
      </c>
      <c r="ES23" s="440"/>
      <c r="ET23" s="431">
        <v>1</v>
      </c>
      <c r="EU23" s="440"/>
      <c r="EV23" s="440"/>
      <c r="EZ23" s="393" t="s">
        <v>36</v>
      </c>
      <c r="FA23" s="393" t="s">
        <v>36</v>
      </c>
      <c r="FB23" s="389">
        <v>677.4</v>
      </c>
      <c r="FC23" s="389">
        <v>667.3</v>
      </c>
      <c r="FD23" s="389">
        <v>674.2</v>
      </c>
      <c r="FE23" s="389">
        <v>681.2</v>
      </c>
      <c r="FF23" s="389">
        <v>683.4</v>
      </c>
      <c r="FG23" s="390">
        <v>2.0680353664019454E-3</v>
      </c>
      <c r="FH23" s="390">
        <v>2.0765351527736575E-3</v>
      </c>
      <c r="FI23" s="390">
        <v>6.4591896652963355E-4</v>
      </c>
      <c r="FJ23" s="391" t="s">
        <v>1389</v>
      </c>
      <c r="FK23" s="391">
        <v>-0.68894388054694355</v>
      </c>
      <c r="FL23" s="31" t="s">
        <v>1394</v>
      </c>
      <c r="FN23" s="128" t="s">
        <v>1432</v>
      </c>
      <c r="FO23" s="128" t="s">
        <v>1433</v>
      </c>
      <c r="FP23" s="128"/>
    </row>
    <row r="24" spans="1:179" ht="22" hidden="1" customHeight="1" x14ac:dyDescent="0.2">
      <c r="A24" s="16" t="s">
        <v>16</v>
      </c>
      <c r="B24" s="145" t="s">
        <v>37</v>
      </c>
      <c r="C24" s="19"/>
      <c r="D24" s="19"/>
      <c r="E24" s="128" t="s">
        <v>38</v>
      </c>
      <c r="F24" s="15" t="s">
        <v>637</v>
      </c>
      <c r="G24" s="15" t="s">
        <v>634</v>
      </c>
      <c r="H24" s="95">
        <f t="shared" si="55"/>
        <v>1</v>
      </c>
      <c r="I24" s="95">
        <f t="shared" si="1"/>
        <v>2</v>
      </c>
      <c r="J24" s="95">
        <v>2</v>
      </c>
      <c r="K24" s="256">
        <f t="shared" si="2"/>
        <v>5</v>
      </c>
      <c r="L24" s="278" t="s">
        <v>640</v>
      </c>
      <c r="M24" s="25"/>
      <c r="N24" s="443">
        <v>3900000</v>
      </c>
      <c r="O24" s="144" t="str">
        <f t="shared" si="3"/>
        <v>Increase forest area by 4.5 million hectares by 2030_x000D__x000D_-</v>
      </c>
      <c r="P24" s="144" t="str">
        <f>CONCATENATE(V24,R24,X24)</f>
        <v>Belize’s contribution will address issues of deforestation and afforestation, maintaining healthy forest ecosystems by sustainable forest management, and increasing the resilience of human communities, especially those whose livelihoods depend on the use of forestry resources. Therefore, Belize will reduce greenhouse gas emissions from deforestation, and from forest degradation, conservation of forest carbon stocks, sustainable management of forests, enhancement of forest stocks through the development of a REDD+ strategy._x000D__x000D_Belize’s contribution will also address the management and protection of key biodiversity areas that will support forest protection and sustainable forest management plans and practices in targeted Protected Areas (PAs), rehabilitation of critical areas of high conservation value by local communities, and community-based sustainable use of ecosystem goods and services; (ii) improving management and monitoring of PAs, including development and implementation of management plans in the targeted PAs, and improving legal framework for the protection of biodiversity and forests;_x000D__x000D_Belize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v>
      </c>
      <c r="Q24" s="431" t="s">
        <v>510</v>
      </c>
      <c r="R24" s="64" t="s">
        <v>918</v>
      </c>
      <c r="S24" s="446" t="s">
        <v>386</v>
      </c>
      <c r="T24" s="300" t="s">
        <v>945</v>
      </c>
      <c r="U24" s="301" t="s">
        <v>925</v>
      </c>
      <c r="V24" s="304" t="s">
        <v>402</v>
      </c>
      <c r="W24" s="258" t="s">
        <v>404</v>
      </c>
      <c r="X24" s="307" t="s">
        <v>954</v>
      </c>
      <c r="Y24" s="274"/>
      <c r="Z24" s="426" t="s">
        <v>221</v>
      </c>
      <c r="AA24" s="320">
        <f t="shared" si="4"/>
        <v>1</v>
      </c>
      <c r="AB24" s="320">
        <f t="shared" si="5"/>
        <v>1</v>
      </c>
      <c r="AC24" s="320">
        <f t="shared" si="6"/>
        <v>0</v>
      </c>
      <c r="AD24" s="320">
        <f t="shared" si="7"/>
        <v>0</v>
      </c>
      <c r="AE24" s="320">
        <f t="shared" si="8"/>
        <v>0</v>
      </c>
      <c r="AF24" s="320">
        <f t="shared" si="9"/>
        <v>0</v>
      </c>
      <c r="AG24" s="320">
        <f t="shared" si="10"/>
        <v>1</v>
      </c>
      <c r="AH24" s="427">
        <v>1</v>
      </c>
      <c r="AI24" s="320">
        <f t="shared" si="11"/>
        <v>1</v>
      </c>
      <c r="AJ24" s="320">
        <f t="shared" si="12"/>
        <v>0</v>
      </c>
      <c r="AK24" s="320">
        <f t="shared" si="13"/>
        <v>0</v>
      </c>
      <c r="AL24" s="320">
        <f t="shared" si="14"/>
        <v>0</v>
      </c>
      <c r="AM24" s="320">
        <f t="shared" si="15"/>
        <v>0</v>
      </c>
      <c r="AN24" s="320">
        <f t="shared" si="16"/>
        <v>0</v>
      </c>
      <c r="AO24" s="427">
        <v>0</v>
      </c>
      <c r="AP24" s="320">
        <f t="shared" si="17"/>
        <v>0</v>
      </c>
      <c r="AQ24" s="320">
        <f t="shared" si="18"/>
        <v>0</v>
      </c>
      <c r="AR24" s="320">
        <f t="shared" si="19"/>
        <v>0</v>
      </c>
      <c r="AS24" s="320">
        <f t="shared" si="20"/>
        <v>0</v>
      </c>
      <c r="AT24" s="320">
        <f t="shared" si="21"/>
        <v>0</v>
      </c>
      <c r="AU24" s="320">
        <f t="shared" si="22"/>
        <v>0</v>
      </c>
      <c r="AV24" s="427">
        <v>0</v>
      </c>
      <c r="AW24" s="320">
        <f t="shared" si="23"/>
        <v>0</v>
      </c>
      <c r="AX24" s="320">
        <f t="shared" si="24"/>
        <v>0</v>
      </c>
      <c r="AY24" s="320">
        <f t="shared" si="25"/>
        <v>0</v>
      </c>
      <c r="AZ24" s="320">
        <f t="shared" si="26"/>
        <v>0</v>
      </c>
      <c r="BA24" s="17">
        <v>1</v>
      </c>
      <c r="BB24" s="17" t="s">
        <v>1294</v>
      </c>
      <c r="BC24" s="17">
        <v>0</v>
      </c>
      <c r="BD24" s="17">
        <v>0</v>
      </c>
      <c r="BE24" s="17">
        <v>0</v>
      </c>
      <c r="BF24" s="17">
        <v>0</v>
      </c>
      <c r="BG24" s="428">
        <f t="shared" si="52"/>
        <v>0</v>
      </c>
      <c r="BH24" s="17"/>
      <c r="BI24" s="17">
        <v>0</v>
      </c>
      <c r="BJ24" s="17" t="s">
        <v>834</v>
      </c>
      <c r="BK24" s="17"/>
      <c r="BL24" s="17">
        <v>0</v>
      </c>
      <c r="BM24" s="17" t="s">
        <v>1152</v>
      </c>
      <c r="BN24" s="320">
        <f t="shared" si="27"/>
        <v>0</v>
      </c>
      <c r="BO24" s="320">
        <f t="shared" si="28"/>
        <v>0</v>
      </c>
      <c r="BP24" s="427">
        <v>0</v>
      </c>
      <c r="BQ24" s="427" t="s">
        <v>834</v>
      </c>
      <c r="BR24" s="320">
        <f t="shared" si="56"/>
        <v>0</v>
      </c>
      <c r="BS24" s="320">
        <f>IF(ISNUMBER(SEARCH("1",$BP24)),1,0)</f>
        <v>0</v>
      </c>
      <c r="BT24" s="427">
        <v>0</v>
      </c>
      <c r="BU24" s="320">
        <f t="shared" si="30"/>
        <v>0</v>
      </c>
      <c r="BV24" s="320">
        <f t="shared" si="31"/>
        <v>0</v>
      </c>
      <c r="BW24" s="320">
        <f t="shared" si="32"/>
        <v>0</v>
      </c>
      <c r="BX24" s="427" t="s">
        <v>226</v>
      </c>
      <c r="BY24" s="320">
        <f t="shared" si="33"/>
        <v>1</v>
      </c>
      <c r="BZ24" s="320">
        <f t="shared" si="34"/>
        <v>1</v>
      </c>
      <c r="CA24" s="320">
        <f t="shared" si="35"/>
        <v>1</v>
      </c>
      <c r="CB24" s="320">
        <f t="shared" si="36"/>
        <v>0</v>
      </c>
      <c r="CC24" s="427" t="s">
        <v>226</v>
      </c>
      <c r="CD24" s="320">
        <f t="shared" si="37"/>
        <v>1</v>
      </c>
      <c r="CE24" s="320">
        <f t="shared" si="38"/>
        <v>1</v>
      </c>
      <c r="CF24" s="320">
        <f t="shared" si="39"/>
        <v>1</v>
      </c>
      <c r="CG24" s="320">
        <f t="shared" si="40"/>
        <v>0</v>
      </c>
      <c r="CH24" s="427">
        <v>1</v>
      </c>
      <c r="CI24" s="427">
        <v>0</v>
      </c>
      <c r="CJ24" s="427">
        <v>0</v>
      </c>
      <c r="CK24" s="427">
        <v>0</v>
      </c>
      <c r="CL24" s="320">
        <f t="shared" si="53"/>
        <v>0</v>
      </c>
      <c r="CM24" s="320">
        <f t="shared" si="41"/>
        <v>0</v>
      </c>
      <c r="CN24" s="320">
        <f t="shared" si="42"/>
        <v>0</v>
      </c>
      <c r="CO24" s="320">
        <f t="shared" si="43"/>
        <v>0</v>
      </c>
      <c r="CP24" s="427">
        <v>1</v>
      </c>
      <c r="CQ24" s="427" t="s">
        <v>222</v>
      </c>
      <c r="CR24" s="320">
        <f t="shared" si="44"/>
        <v>1</v>
      </c>
      <c r="CS24" s="320">
        <f t="shared" si="45"/>
        <v>1</v>
      </c>
      <c r="CT24" s="320">
        <f t="shared" si="46"/>
        <v>1</v>
      </c>
      <c r="CU24" s="320">
        <v>1</v>
      </c>
      <c r="CV24" s="427">
        <v>1</v>
      </c>
      <c r="CW24" s="17">
        <v>0</v>
      </c>
      <c r="CX24" s="320">
        <f t="shared" si="47"/>
        <v>0</v>
      </c>
      <c r="CY24" s="320">
        <f t="shared" si="48"/>
        <v>0</v>
      </c>
      <c r="CZ24" s="320">
        <f t="shared" si="49"/>
        <v>0</v>
      </c>
      <c r="DA24" s="17">
        <v>1</v>
      </c>
      <c r="DB24" s="17">
        <v>1</v>
      </c>
      <c r="DC24" s="17">
        <v>0</v>
      </c>
      <c r="DD24" s="31"/>
      <c r="DE24" s="326" t="s">
        <v>387</v>
      </c>
      <c r="DF24" s="326" t="s">
        <v>388</v>
      </c>
      <c r="DG24" s="326" t="s">
        <v>388</v>
      </c>
      <c r="DH24" s="326" t="s">
        <v>392</v>
      </c>
      <c r="DI24" s="321"/>
      <c r="DJ24" s="326" t="s">
        <v>388</v>
      </c>
      <c r="DK24" s="326" t="s">
        <v>402</v>
      </c>
      <c r="DL24" s="326" t="s">
        <v>403</v>
      </c>
      <c r="DM24" s="326" t="s">
        <v>388</v>
      </c>
      <c r="DN24" s="326" t="s">
        <v>388</v>
      </c>
      <c r="DO24" s="326" t="s">
        <v>388</v>
      </c>
      <c r="DP24" s="322" t="s">
        <v>404</v>
      </c>
      <c r="DQ24" s="386"/>
      <c r="DR24" s="240">
        <f>SUM(DS24:DX24)/6</f>
        <v>0.28917069243156202</v>
      </c>
      <c r="DS24" s="429">
        <f t="shared" si="50"/>
        <v>0.17391304347826086</v>
      </c>
      <c r="DT24" s="429">
        <f>SUM(BA24:BE24,BG24)/5</f>
        <v>0.2</v>
      </c>
      <c r="DU24" s="429">
        <f>SUM(BI24,BO24,BS24,BU24:BW24)/6</f>
        <v>0</v>
      </c>
      <c r="DV24" s="429">
        <f>SUM(BY24-CB24,CD24-CG24)/8</f>
        <v>0.25</v>
      </c>
      <c r="DW24" s="429">
        <f>SUM(CH24:CJ24,CL24:CO24,BN24,BR24)/9</f>
        <v>0.1111111111111111</v>
      </c>
      <c r="DX24" s="429">
        <f>SUM(CP24,CR24:CV24)/6</f>
        <v>1</v>
      </c>
      <c r="DY24" s="444"/>
      <c r="DZ24" s="140"/>
      <c r="EA24" s="140"/>
      <c r="EB24" s="140"/>
      <c r="EC24" s="140"/>
      <c r="ED24" s="124"/>
      <c r="EG24" s="81"/>
      <c r="EH24" s="46">
        <v>0</v>
      </c>
      <c r="EI24" s="45"/>
      <c r="EJ24" s="33" t="e">
        <f t="shared" si="51"/>
        <v>#VALUE!</v>
      </c>
      <c r="EK24" s="42"/>
      <c r="EL24" s="42"/>
      <c r="EM24" s="42"/>
      <c r="EN24" s="439"/>
      <c r="EO24" s="439"/>
      <c r="EP24" s="439"/>
      <c r="EQ24" s="47"/>
      <c r="ER24" s="440">
        <v>1</v>
      </c>
      <c r="ES24" s="431"/>
      <c r="ET24" s="431">
        <v>1</v>
      </c>
      <c r="EU24" s="431"/>
      <c r="EV24" s="447"/>
      <c r="EZ24" s="393" t="s">
        <v>38</v>
      </c>
      <c r="FA24" s="393" t="s">
        <v>38</v>
      </c>
      <c r="FB24" s="389">
        <v>1616.027</v>
      </c>
      <c r="FC24" s="389">
        <v>1459.3009999999999</v>
      </c>
      <c r="FD24" s="389">
        <v>1416.53</v>
      </c>
      <c r="FE24" s="389">
        <v>1391.3910000000001</v>
      </c>
      <c r="FF24" s="389">
        <v>1366.3</v>
      </c>
      <c r="FG24" s="390">
        <v>-5.861847555781838E-3</v>
      </c>
      <c r="FH24" s="390">
        <v>-3.5493777046726716E-3</v>
      </c>
      <c r="FI24" s="390">
        <v>-3.6066066260310899E-3</v>
      </c>
      <c r="FJ24" s="391">
        <v>1.6123649304236553E-2</v>
      </c>
      <c r="FK24" s="391" t="s">
        <v>1386</v>
      </c>
      <c r="FL24" s="31" t="s">
        <v>1379</v>
      </c>
      <c r="FN24" s="128" t="s">
        <v>1434</v>
      </c>
      <c r="FO24" s="128" t="s">
        <v>1435</v>
      </c>
      <c r="FP24" s="128"/>
    </row>
    <row r="25" spans="1:179" ht="22" hidden="1" customHeight="1" x14ac:dyDescent="0.2">
      <c r="A25" s="13" t="s">
        <v>10</v>
      </c>
      <c r="B25" s="14" t="s">
        <v>39</v>
      </c>
      <c r="C25" s="14"/>
      <c r="D25" s="14" t="s">
        <v>1068</v>
      </c>
      <c r="E25" s="128" t="s">
        <v>40</v>
      </c>
      <c r="F25" s="15" t="s">
        <v>639</v>
      </c>
      <c r="G25" s="15" t="s">
        <v>635</v>
      </c>
      <c r="H25" s="95">
        <v>0</v>
      </c>
      <c r="I25" s="95">
        <f t="shared" si="1"/>
        <v>0</v>
      </c>
      <c r="J25" s="95"/>
      <c r="K25" s="256">
        <f t="shared" si="2"/>
        <v>0</v>
      </c>
      <c r="L25" s="278">
        <v>0</v>
      </c>
      <c r="M25" s="25"/>
      <c r="N25" s="89"/>
      <c r="O25" s="144" t="str">
        <f t="shared" si="3"/>
        <v>Restaurer les forêts naturelles dégradées = 532 961 ha_x000D_Rationaliser l’exploitation des ressources forestières = sur une étendue d’au moins 1 330 000 ha _x000D_Promouvoir les plantations domaniales, communales et privée = superficie de 100 000 ha_x000D_Sécuriser les limites des domaines forestier de l'Etat = 2 664 805ha_x000D__x000D_La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v>
      </c>
      <c r="P25" s="144" t="str">
        <f>CONCATENATE(V25,R25,X25)</f>
        <v xml:space="preserve">N/A or not found_x000D__x000D_ </v>
      </c>
      <c r="Q25" s="425" t="s">
        <v>961</v>
      </c>
      <c r="R25" s="64" t="s">
        <v>918</v>
      </c>
      <c r="S25" s="425" t="s">
        <v>980</v>
      </c>
      <c r="T25" s="300" t="s">
        <v>978</v>
      </c>
      <c r="U25" s="301" t="s">
        <v>979</v>
      </c>
      <c r="V25" s="301" t="s">
        <v>925</v>
      </c>
      <c r="W25" s="258">
        <v>1</v>
      </c>
      <c r="X25" s="307" t="s">
        <v>924</v>
      </c>
      <c r="Y25" s="274"/>
      <c r="Z25" s="426" t="s">
        <v>224</v>
      </c>
      <c r="AA25" s="320">
        <f t="shared" si="4"/>
        <v>1</v>
      </c>
      <c r="AB25" s="320">
        <f t="shared" si="5"/>
        <v>0</v>
      </c>
      <c r="AC25" s="320">
        <f t="shared" si="6"/>
        <v>1</v>
      </c>
      <c r="AD25" s="320">
        <f t="shared" si="7"/>
        <v>0</v>
      </c>
      <c r="AE25" s="320">
        <f t="shared" si="8"/>
        <v>1</v>
      </c>
      <c r="AF25" s="320">
        <f t="shared" si="9"/>
        <v>0</v>
      </c>
      <c r="AG25" s="320">
        <f t="shared" si="10"/>
        <v>0</v>
      </c>
      <c r="AH25" s="427" t="s">
        <v>811</v>
      </c>
      <c r="AI25" s="320">
        <f t="shared" si="11"/>
        <v>1</v>
      </c>
      <c r="AJ25" s="320">
        <f t="shared" si="12"/>
        <v>1</v>
      </c>
      <c r="AK25" s="320">
        <f t="shared" si="13"/>
        <v>1</v>
      </c>
      <c r="AL25" s="320">
        <f t="shared" si="14"/>
        <v>0</v>
      </c>
      <c r="AM25" s="320">
        <f t="shared" si="15"/>
        <v>1</v>
      </c>
      <c r="AN25" s="320">
        <f t="shared" si="16"/>
        <v>0</v>
      </c>
      <c r="AO25" s="427">
        <v>0</v>
      </c>
      <c r="AP25" s="320">
        <f t="shared" si="17"/>
        <v>0</v>
      </c>
      <c r="AQ25" s="320">
        <f t="shared" si="18"/>
        <v>0</v>
      </c>
      <c r="AR25" s="320">
        <f t="shared" si="19"/>
        <v>0</v>
      </c>
      <c r="AS25" s="320">
        <f t="shared" si="20"/>
        <v>0</v>
      </c>
      <c r="AT25" s="320">
        <f t="shared" si="21"/>
        <v>0</v>
      </c>
      <c r="AU25" s="320">
        <f t="shared" si="22"/>
        <v>0</v>
      </c>
      <c r="AV25" s="427">
        <v>0</v>
      </c>
      <c r="AW25" s="320">
        <f t="shared" si="23"/>
        <v>0</v>
      </c>
      <c r="AX25" s="320">
        <f t="shared" si="24"/>
        <v>0</v>
      </c>
      <c r="AY25" s="320">
        <f t="shared" si="25"/>
        <v>0</v>
      </c>
      <c r="AZ25" s="320">
        <f t="shared" si="26"/>
        <v>0</v>
      </c>
      <c r="BA25" s="17">
        <v>1</v>
      </c>
      <c r="BB25" s="17" t="s">
        <v>1263</v>
      </c>
      <c r="BC25" s="17">
        <v>0</v>
      </c>
      <c r="BD25" s="17">
        <v>1</v>
      </c>
      <c r="BE25" s="17">
        <v>0</v>
      </c>
      <c r="BF25" s="17">
        <v>1</v>
      </c>
      <c r="BG25" s="428">
        <f t="shared" si="52"/>
        <v>1</v>
      </c>
      <c r="BH25" s="17">
        <v>1</v>
      </c>
      <c r="BI25" s="17">
        <v>1</v>
      </c>
      <c r="BJ25" s="17" t="s">
        <v>1158</v>
      </c>
      <c r="BK25" s="17"/>
      <c r="BL25" s="17">
        <v>1</v>
      </c>
      <c r="BM25" s="17" t="s">
        <v>1159</v>
      </c>
      <c r="BN25" s="320">
        <f t="shared" si="27"/>
        <v>1</v>
      </c>
      <c r="BO25" s="320">
        <f t="shared" si="28"/>
        <v>0</v>
      </c>
      <c r="BP25" s="427">
        <v>1</v>
      </c>
      <c r="BQ25" s="427" t="s">
        <v>1160</v>
      </c>
      <c r="BR25" s="320">
        <f t="shared" si="56"/>
        <v>1</v>
      </c>
      <c r="BS25" s="320">
        <v>0</v>
      </c>
      <c r="BT25" s="427">
        <v>1</v>
      </c>
      <c r="BU25" s="320">
        <f t="shared" si="30"/>
        <v>1</v>
      </c>
      <c r="BV25" s="320">
        <f t="shared" si="31"/>
        <v>0</v>
      </c>
      <c r="BW25" s="320">
        <f t="shared" si="32"/>
        <v>0</v>
      </c>
      <c r="BX25" s="427" t="s">
        <v>315</v>
      </c>
      <c r="BY25" s="320">
        <f t="shared" si="33"/>
        <v>1</v>
      </c>
      <c r="BZ25" s="320">
        <f t="shared" si="34"/>
        <v>0</v>
      </c>
      <c r="CA25" s="320">
        <f t="shared" si="35"/>
        <v>1</v>
      </c>
      <c r="CB25" s="320">
        <f t="shared" si="36"/>
        <v>0</v>
      </c>
      <c r="CC25" s="427">
        <v>0</v>
      </c>
      <c r="CD25" s="320">
        <f t="shared" si="37"/>
        <v>0</v>
      </c>
      <c r="CE25" s="320">
        <f t="shared" si="38"/>
        <v>0</v>
      </c>
      <c r="CF25" s="320">
        <f t="shared" si="39"/>
        <v>0</v>
      </c>
      <c r="CG25" s="320">
        <f t="shared" si="40"/>
        <v>0</v>
      </c>
      <c r="CH25" s="427">
        <v>1</v>
      </c>
      <c r="CI25" s="427">
        <v>0</v>
      </c>
      <c r="CJ25" s="427">
        <v>0</v>
      </c>
      <c r="CK25" s="427">
        <v>0</v>
      </c>
      <c r="CL25" s="320">
        <f t="shared" si="53"/>
        <v>0</v>
      </c>
      <c r="CM25" s="320">
        <f t="shared" si="41"/>
        <v>0</v>
      </c>
      <c r="CN25" s="320">
        <f t="shared" si="42"/>
        <v>0</v>
      </c>
      <c r="CO25" s="320">
        <f t="shared" si="43"/>
        <v>0</v>
      </c>
      <c r="CP25" s="427">
        <v>1</v>
      </c>
      <c r="CQ25" s="427">
        <v>2</v>
      </c>
      <c r="CR25" s="320">
        <f t="shared" si="44"/>
        <v>0</v>
      </c>
      <c r="CS25" s="320">
        <f t="shared" si="45"/>
        <v>0</v>
      </c>
      <c r="CT25" s="320">
        <f t="shared" si="46"/>
        <v>1</v>
      </c>
      <c r="CU25" s="320">
        <f>IF(ISNUMBER(SEARCH("3",$CQ25)),1,0)</f>
        <v>0</v>
      </c>
      <c r="CV25" s="427">
        <v>0</v>
      </c>
      <c r="CW25" s="17">
        <v>0</v>
      </c>
      <c r="CX25" s="320">
        <f t="shared" si="47"/>
        <v>0</v>
      </c>
      <c r="CY25" s="320">
        <f t="shared" si="48"/>
        <v>0</v>
      </c>
      <c r="CZ25" s="320">
        <f t="shared" si="49"/>
        <v>0</v>
      </c>
      <c r="DA25" s="17"/>
      <c r="DB25" s="17"/>
      <c r="DC25" s="17"/>
      <c r="DD25" s="31"/>
      <c r="DE25" s="323" t="s">
        <v>392</v>
      </c>
      <c r="DF25" s="323" t="s">
        <v>392</v>
      </c>
      <c r="DG25" s="323" t="s">
        <v>392</v>
      </c>
      <c r="DH25" s="323" t="s">
        <v>392</v>
      </c>
      <c r="DI25" s="323"/>
      <c r="DJ25" s="323" t="s">
        <v>392</v>
      </c>
      <c r="DK25" s="323">
        <v>1</v>
      </c>
      <c r="DL25" s="323" t="s">
        <v>387</v>
      </c>
      <c r="DM25" s="323">
        <v>1</v>
      </c>
      <c r="DN25" s="323" t="s">
        <v>387</v>
      </c>
      <c r="DO25" s="323" t="s">
        <v>821</v>
      </c>
      <c r="DP25" s="324">
        <v>1</v>
      </c>
      <c r="DQ25" s="383"/>
      <c r="DR25" s="238">
        <f>SUM(DS25:DX25)/6</f>
        <v>0.33822463768115946</v>
      </c>
      <c r="DS25" s="429">
        <f t="shared" si="50"/>
        <v>0.30434782608695654</v>
      </c>
      <c r="DT25" s="448">
        <f>SUM(BA25:BE25,BG25)/5</f>
        <v>0.6</v>
      </c>
      <c r="DU25" s="429">
        <f>SUM(BI25,BO25,BS25,BU25:BW25)/6</f>
        <v>0.33333333333333331</v>
      </c>
      <c r="DV25" s="429">
        <f>SUM(BY25-CB25,CD25-CG25)/8</f>
        <v>0.125</v>
      </c>
      <c r="DW25" s="429">
        <f>SUM(CH25:CJ25,CL25:CO25,BN25,BR25)/9</f>
        <v>0.33333333333333331</v>
      </c>
      <c r="DX25" s="429">
        <f>SUM(CP25,CR25:CV25)/6</f>
        <v>0.33333333333333331</v>
      </c>
      <c r="DY25" s="59"/>
      <c r="DZ25" s="134"/>
      <c r="EA25" s="134"/>
      <c r="EB25" s="134"/>
      <c r="EC25" s="134"/>
      <c r="ED25" s="123"/>
      <c r="EG25" s="81"/>
      <c r="EH25" s="44">
        <v>0</v>
      </c>
      <c r="EI25" s="45"/>
      <c r="EJ25" s="33" t="b">
        <f t="shared" si="51"/>
        <v>0</v>
      </c>
      <c r="EK25" s="42"/>
      <c r="EL25" s="42"/>
      <c r="EM25" s="42"/>
      <c r="EN25" s="439"/>
      <c r="EO25" s="439"/>
      <c r="EP25" s="439"/>
      <c r="EQ25" s="38"/>
      <c r="ER25" s="440">
        <v>1</v>
      </c>
      <c r="ES25" s="431">
        <v>1</v>
      </c>
      <c r="ET25" s="431">
        <v>1</v>
      </c>
      <c r="EU25" s="431">
        <v>1</v>
      </c>
      <c r="EV25" s="447">
        <v>0</v>
      </c>
      <c r="EZ25" s="393" t="s">
        <v>40</v>
      </c>
      <c r="FA25" s="393" t="s">
        <v>40</v>
      </c>
      <c r="FB25" s="389">
        <v>5761</v>
      </c>
      <c r="FC25" s="389">
        <v>5061</v>
      </c>
      <c r="FD25" s="389">
        <v>4811</v>
      </c>
      <c r="FE25" s="389">
        <v>4561</v>
      </c>
      <c r="FF25" s="389">
        <v>4311</v>
      </c>
      <c r="FG25" s="390">
        <v>-9.879470460383323E-3</v>
      </c>
      <c r="FH25" s="390">
        <v>-1.0392849719393058E-2</v>
      </c>
      <c r="FI25" s="390">
        <v>-1.0962508221881165E-2</v>
      </c>
      <c r="FJ25" s="391">
        <v>5.4812541109405685E-2</v>
      </c>
      <c r="FK25" s="391" t="s">
        <v>1386</v>
      </c>
      <c r="FL25" s="31" t="s">
        <v>1379</v>
      </c>
      <c r="FN25" s="128" t="s">
        <v>1436</v>
      </c>
      <c r="FO25" s="128" t="s">
        <v>1437</v>
      </c>
      <c r="FP25" s="128"/>
    </row>
    <row r="26" spans="1:179" ht="22" hidden="1" customHeight="1" x14ac:dyDescent="0.2">
      <c r="A26" s="13" t="s">
        <v>4</v>
      </c>
      <c r="B26" s="14" t="s">
        <v>5</v>
      </c>
      <c r="C26" s="14"/>
      <c r="D26" s="14" t="s">
        <v>1068</v>
      </c>
      <c r="E26" s="128" t="s">
        <v>41</v>
      </c>
      <c r="F26" s="15" t="s">
        <v>638</v>
      </c>
      <c r="G26" s="15" t="s">
        <v>635</v>
      </c>
      <c r="H26" s="95">
        <f t="shared" ref="H26:H32" si="57">IF(G26="YES",0,1)</f>
        <v>0</v>
      </c>
      <c r="I26" s="95">
        <f t="shared" si="1"/>
        <v>0</v>
      </c>
      <c r="J26" s="95"/>
      <c r="K26" s="256">
        <f t="shared" si="2"/>
        <v>0</v>
      </c>
      <c r="L26" s="278">
        <v>0</v>
      </c>
      <c r="M26" s="25"/>
      <c r="N26" s="89"/>
      <c r="O26" s="144" t="str">
        <f t="shared" si="3"/>
        <v>_x000D__x000D_</v>
      </c>
      <c r="P26" s="144" t="str">
        <f>CONCATENATE(V26,R26,X26)</f>
        <v xml:space="preserve">The first comprehensive national forest inventory presently underway will provide an updated state of the forests in Bhutan by end of 2016._x000D_The forest monitoring and inventory system being developed in conjunction with a national forest monitoring system for REDD+ will enable monitoring and assessment of forest cover_x000D_over time. _x000D_The Bhutan Trust Fund for Environmental Conservation also provides local funding for projects addressing mitigation and adaptation._x000D__x000D_ </v>
      </c>
      <c r="Q26" s="449"/>
      <c r="R26" s="64" t="s">
        <v>918</v>
      </c>
      <c r="S26" s="425"/>
      <c r="T26" s="300" t="s">
        <v>846</v>
      </c>
      <c r="U26" s="301" t="s">
        <v>926</v>
      </c>
      <c r="V26" s="303" t="s">
        <v>1010</v>
      </c>
      <c r="W26" s="258"/>
      <c r="X26" s="307" t="s">
        <v>924</v>
      </c>
      <c r="Y26" s="274"/>
      <c r="Z26" s="426">
        <v>1</v>
      </c>
      <c r="AA26" s="320">
        <f t="shared" si="4"/>
        <v>1</v>
      </c>
      <c r="AB26" s="320">
        <f t="shared" si="5"/>
        <v>0</v>
      </c>
      <c r="AC26" s="320">
        <f t="shared" si="6"/>
        <v>0</v>
      </c>
      <c r="AD26" s="320">
        <f t="shared" si="7"/>
        <v>0</v>
      </c>
      <c r="AE26" s="320">
        <f t="shared" si="8"/>
        <v>0</v>
      </c>
      <c r="AF26" s="320">
        <f t="shared" si="9"/>
        <v>0</v>
      </c>
      <c r="AG26" s="320">
        <f t="shared" si="10"/>
        <v>0</v>
      </c>
      <c r="AH26" s="427">
        <v>1</v>
      </c>
      <c r="AI26" s="320">
        <f t="shared" si="11"/>
        <v>1</v>
      </c>
      <c r="AJ26" s="320">
        <f t="shared" si="12"/>
        <v>0</v>
      </c>
      <c r="AK26" s="320">
        <f t="shared" si="13"/>
        <v>0</v>
      </c>
      <c r="AL26" s="320">
        <f t="shared" si="14"/>
        <v>0</v>
      </c>
      <c r="AM26" s="320">
        <f t="shared" si="15"/>
        <v>0</v>
      </c>
      <c r="AN26" s="320">
        <f t="shared" si="16"/>
        <v>0</v>
      </c>
      <c r="AO26" s="427" t="s">
        <v>221</v>
      </c>
      <c r="AP26" s="320">
        <f t="shared" si="17"/>
        <v>1</v>
      </c>
      <c r="AQ26" s="320">
        <f t="shared" si="18"/>
        <v>1</v>
      </c>
      <c r="AR26" s="320">
        <f t="shared" si="19"/>
        <v>0</v>
      </c>
      <c r="AS26" s="320">
        <f t="shared" si="20"/>
        <v>0</v>
      </c>
      <c r="AT26" s="320">
        <f t="shared" si="21"/>
        <v>0</v>
      </c>
      <c r="AU26" s="320">
        <f t="shared" si="22"/>
        <v>0</v>
      </c>
      <c r="AV26" s="427">
        <v>0</v>
      </c>
      <c r="AW26" s="320">
        <f t="shared" si="23"/>
        <v>0</v>
      </c>
      <c r="AX26" s="320">
        <f t="shared" si="24"/>
        <v>0</v>
      </c>
      <c r="AY26" s="320">
        <f t="shared" si="25"/>
        <v>0</v>
      </c>
      <c r="AZ26" s="320">
        <f t="shared" si="26"/>
        <v>0</v>
      </c>
      <c r="BA26" s="17">
        <v>1</v>
      </c>
      <c r="BB26" s="17" t="s">
        <v>846</v>
      </c>
      <c r="BC26" s="17">
        <v>0</v>
      </c>
      <c r="BD26" s="17">
        <v>1</v>
      </c>
      <c r="BE26" s="17">
        <v>0</v>
      </c>
      <c r="BF26" s="17">
        <v>0</v>
      </c>
      <c r="BG26" s="428">
        <f t="shared" si="52"/>
        <v>0</v>
      </c>
      <c r="BH26" s="17">
        <v>1</v>
      </c>
      <c r="BI26" s="17">
        <v>1</v>
      </c>
      <c r="BJ26" s="17" t="s">
        <v>1227</v>
      </c>
      <c r="BK26" s="17"/>
      <c r="BL26" s="17">
        <v>0</v>
      </c>
      <c r="BM26" s="17" t="s">
        <v>834</v>
      </c>
      <c r="BN26" s="320">
        <f t="shared" si="27"/>
        <v>0</v>
      </c>
      <c r="BO26" s="320">
        <f t="shared" si="28"/>
        <v>0</v>
      </c>
      <c r="BP26" s="427">
        <v>1</v>
      </c>
      <c r="BQ26" s="427" t="s">
        <v>834</v>
      </c>
      <c r="BR26" s="320">
        <f t="shared" si="56"/>
        <v>1</v>
      </c>
      <c r="BS26" s="320">
        <f>IF(ISNUMBER(SEARCH("t",$BP26)),1,0)</f>
        <v>0</v>
      </c>
      <c r="BT26" s="427">
        <v>0</v>
      </c>
      <c r="BU26" s="320">
        <f t="shared" si="30"/>
        <v>0</v>
      </c>
      <c r="BV26" s="320">
        <f t="shared" si="31"/>
        <v>0</v>
      </c>
      <c r="BW26" s="320">
        <f t="shared" si="32"/>
        <v>0</v>
      </c>
      <c r="BX26" s="427" t="s">
        <v>224</v>
      </c>
      <c r="BY26" s="320">
        <f t="shared" si="33"/>
        <v>1</v>
      </c>
      <c r="BZ26" s="320">
        <f t="shared" si="34"/>
        <v>1</v>
      </c>
      <c r="CA26" s="320">
        <f t="shared" si="35"/>
        <v>1</v>
      </c>
      <c r="CB26" s="320">
        <f t="shared" si="36"/>
        <v>0</v>
      </c>
      <c r="CC26" s="427">
        <v>0</v>
      </c>
      <c r="CD26" s="320">
        <f t="shared" si="37"/>
        <v>0</v>
      </c>
      <c r="CE26" s="320">
        <f t="shared" si="38"/>
        <v>0</v>
      </c>
      <c r="CF26" s="320">
        <f t="shared" si="39"/>
        <v>0</v>
      </c>
      <c r="CG26" s="320">
        <f t="shared" si="40"/>
        <v>0</v>
      </c>
      <c r="CH26" s="427">
        <v>1</v>
      </c>
      <c r="CI26" s="427">
        <v>0</v>
      </c>
      <c r="CJ26" s="427">
        <v>0</v>
      </c>
      <c r="CK26" s="427">
        <v>0</v>
      </c>
      <c r="CL26" s="320">
        <f t="shared" si="53"/>
        <v>0</v>
      </c>
      <c r="CM26" s="320">
        <f t="shared" si="41"/>
        <v>0</v>
      </c>
      <c r="CN26" s="320">
        <f t="shared" si="42"/>
        <v>0</v>
      </c>
      <c r="CO26" s="320">
        <f t="shared" si="43"/>
        <v>0</v>
      </c>
      <c r="CP26" s="427">
        <v>1</v>
      </c>
      <c r="CQ26" s="427" t="s">
        <v>317</v>
      </c>
      <c r="CR26" s="320">
        <f t="shared" si="44"/>
        <v>1</v>
      </c>
      <c r="CS26" s="320">
        <f t="shared" si="45"/>
        <v>0</v>
      </c>
      <c r="CT26" s="320">
        <f t="shared" si="46"/>
        <v>1</v>
      </c>
      <c r="CU26" s="320">
        <f>IF(ISNUMBER(SEARCH("3",$CQ26)),1,0)</f>
        <v>0</v>
      </c>
      <c r="CV26" s="427">
        <v>0</v>
      </c>
      <c r="CW26" s="17">
        <v>0</v>
      </c>
      <c r="CX26" s="320">
        <f t="shared" si="47"/>
        <v>0</v>
      </c>
      <c r="CY26" s="320">
        <f t="shared" si="48"/>
        <v>0</v>
      </c>
      <c r="CZ26" s="320">
        <f t="shared" si="49"/>
        <v>0</v>
      </c>
      <c r="DA26" s="17">
        <v>1</v>
      </c>
      <c r="DB26" s="17">
        <v>0</v>
      </c>
      <c r="DC26" s="17">
        <v>1</v>
      </c>
      <c r="DD26" s="31"/>
      <c r="DE26" s="321" t="s">
        <v>392</v>
      </c>
      <c r="DF26" s="378" t="s">
        <v>405</v>
      </c>
      <c r="DG26" s="321"/>
      <c r="DH26" s="321" t="s">
        <v>406</v>
      </c>
      <c r="DI26" s="321"/>
      <c r="DJ26" s="321" t="s">
        <v>407</v>
      </c>
      <c r="DK26" s="321" t="s">
        <v>408</v>
      </c>
      <c r="DL26" s="321" t="s">
        <v>409</v>
      </c>
      <c r="DM26" s="321" t="s">
        <v>410</v>
      </c>
      <c r="DN26" s="321"/>
      <c r="DO26" s="321"/>
      <c r="DP26" s="322" t="s">
        <v>411</v>
      </c>
      <c r="DQ26" s="388"/>
      <c r="DR26" s="239">
        <f>SUM(DS26:DX26)/6</f>
        <v>0.26463365539452494</v>
      </c>
      <c r="DS26" s="429">
        <f t="shared" si="50"/>
        <v>0.17391304347826086</v>
      </c>
      <c r="DT26" s="429">
        <f>SUM(BA26:BE26,BG26)/5</f>
        <v>0.4</v>
      </c>
      <c r="DU26" s="429">
        <f>SUM(BI26,BO26,BS26,BU26:BW26)/6</f>
        <v>0.16666666666666666</v>
      </c>
      <c r="DV26" s="429">
        <f>SUM(BY26-CB26,CD26-CG26)/8</f>
        <v>0.125</v>
      </c>
      <c r="DW26" s="429">
        <f>SUM(CH26:CJ26,CL26:CO26,BN26,BR26)/9</f>
        <v>0.22222222222222221</v>
      </c>
      <c r="DX26" s="429">
        <f>SUM(CP26,CR26:CV26)/6</f>
        <v>0.5</v>
      </c>
      <c r="DY26" s="429"/>
      <c r="DZ26" s="137" t="s">
        <v>723</v>
      </c>
      <c r="EA26" s="135"/>
      <c r="EB26" s="137" t="s">
        <v>750</v>
      </c>
      <c r="EC26" s="137" t="s">
        <v>751</v>
      </c>
      <c r="ED26" s="124">
        <v>2</v>
      </c>
      <c r="EG26" s="81"/>
      <c r="EH26" s="44">
        <v>0</v>
      </c>
      <c r="EI26" s="56"/>
      <c r="EJ26" s="33" t="b">
        <f t="shared" si="51"/>
        <v>0</v>
      </c>
      <c r="EK26" s="57"/>
      <c r="EL26" s="57"/>
      <c r="EM26" s="57"/>
      <c r="EN26" s="441"/>
      <c r="EO26" s="441"/>
      <c r="EP26" s="441"/>
      <c r="EQ26" s="62"/>
      <c r="ER26" s="58">
        <v>1</v>
      </c>
      <c r="ES26" s="63"/>
      <c r="ET26" s="442">
        <v>1</v>
      </c>
      <c r="EU26" s="60"/>
      <c r="EV26" s="147"/>
      <c r="EZ26" s="393" t="s">
        <v>41</v>
      </c>
      <c r="FA26" s="393" t="s">
        <v>41</v>
      </c>
      <c r="FB26" s="389">
        <v>2506.7139999999999</v>
      </c>
      <c r="FC26" s="389">
        <v>2606.002</v>
      </c>
      <c r="FD26" s="389">
        <v>2655.6469999999999</v>
      </c>
      <c r="FE26" s="389">
        <v>2705.2910000000002</v>
      </c>
      <c r="FF26" s="389">
        <v>2754.9349999999999</v>
      </c>
      <c r="FG26" s="390">
        <v>3.81005079811911E-3</v>
      </c>
      <c r="FH26" s="390">
        <v>3.7387499166869871E-3</v>
      </c>
      <c r="FI26" s="390">
        <v>3.6701412158617894E-3</v>
      </c>
      <c r="FJ26" s="391" t="s">
        <v>1389</v>
      </c>
      <c r="FK26" s="391">
        <v>-1.8350706079318047E-2</v>
      </c>
      <c r="FL26" s="31" t="s">
        <v>1394</v>
      </c>
      <c r="FN26" s="128" t="s">
        <v>1438</v>
      </c>
      <c r="FO26" s="128" t="s">
        <v>1439</v>
      </c>
      <c r="FP26" s="128"/>
    </row>
    <row r="27" spans="1:179" ht="22" hidden="1" customHeight="1" x14ac:dyDescent="0.2">
      <c r="A27" s="16" t="s">
        <v>16</v>
      </c>
      <c r="B27" s="19" t="s">
        <v>19</v>
      </c>
      <c r="C27" s="19"/>
      <c r="D27" s="19"/>
      <c r="E27" s="128" t="s">
        <v>42</v>
      </c>
      <c r="F27" s="15" t="s">
        <v>637</v>
      </c>
      <c r="G27" s="15" t="s">
        <v>634</v>
      </c>
      <c r="H27" s="91">
        <f t="shared" si="57"/>
        <v>1</v>
      </c>
      <c r="I27" s="95">
        <f t="shared" si="1"/>
        <v>0</v>
      </c>
      <c r="J27" s="91"/>
      <c r="K27" s="256">
        <f t="shared" si="2"/>
        <v>1</v>
      </c>
      <c r="L27" s="101">
        <v>0</v>
      </c>
      <c r="M27" s="99"/>
      <c r="N27" s="89"/>
      <c r="O27" s="98" t="str">
        <f t="shared" si="3"/>
        <v>_x000D__x000D_</v>
      </c>
      <c r="P27" s="144" t="str">
        <f>CONCATENATE(V27,R27,X27)</f>
        <v>To achieve the results mentioned above in forests and in agricultural, forestry and agro-forestry production systems, the following measures and actions will be implemented:_x000D_• Resilience has been achieved through the strengthening of environmental functions and the productive capacities of agricultural and agroforestry systems._x000D_• Integrated and sustainable management of forests has strengthened through the management of timber and non-timber products in an integrated and sustainable manner._x000D_• Conservation of areas with high environmental functions._x000D_• Restoration and recovery of degraded soils and forests._x000D_• Consolidation and strengthening of regenerative capacities of forests and forest systems._x000D_• Implementation of control, monitoring, and tracking systems for the appropriate use of areas of forest life._x000D_• Actions related to supervision and control for the proper management of forests has been achieved._x000D_• Actions pertaining to the proper management of protected areas and forest areas with conservation priority have been achieved._x000D_• Consolidation of agroforestry systems._x000D_• Transition to semi - intensive systems of livestock management and integrated management of agroforestry and silviculture techniques._x000D_• Transition to agricultural systems with sustainable management practices._x000D_• Reduction of vulnerabilities in agricultural, fisheries, and agro-forestry systems of production._x000D_• Sustainable use of biodiversity resources, wildlife and aquatic life for food security and sustainable industrialization._x000D_• Control of illegal deforestation and establishment of systems of control and monitoring of deforestation, fires and forest fires._x000D_• Training in technologies adapted to climate change (local knowledge and modern technologies)._x000D_• Actions to reduce the vulnerability of production systems in a climate change scenario._x000D_• Usage of better local adapted varieties of species suited for the climate, and resistant to pests and diseases._x000D_• Measures of agricultural and livestock production insurance to include additional conservation actions, making resilient agricultural and forestry production systems. _x000D_• Development of research and information on alternatives for climate change and adaptation technologies._x000D_• Strengthening of local capacities for adaptation to climate change._x000D_• Strengthening community based stewardship in forest management and farming systems._x000D_• Forestation and reforestation, forest plantations, parks and urban forests._x000D__x000D_</v>
      </c>
      <c r="Q27" s="220"/>
      <c r="R27" s="64" t="s">
        <v>918</v>
      </c>
      <c r="S27" s="425"/>
      <c r="T27" s="300" t="s">
        <v>925</v>
      </c>
      <c r="U27" s="301" t="s">
        <v>946</v>
      </c>
      <c r="V27" s="301" t="s">
        <v>412</v>
      </c>
      <c r="W27" s="258" t="s">
        <v>414</v>
      </c>
      <c r="X27" s="307"/>
      <c r="Y27" s="274"/>
      <c r="Z27" s="426" t="s">
        <v>222</v>
      </c>
      <c r="AA27" s="320">
        <f t="shared" si="4"/>
        <v>1</v>
      </c>
      <c r="AB27" s="320">
        <f t="shared" si="5"/>
        <v>1</v>
      </c>
      <c r="AC27" s="320">
        <f t="shared" si="6"/>
        <v>1</v>
      </c>
      <c r="AD27" s="320">
        <f t="shared" si="7"/>
        <v>0</v>
      </c>
      <c r="AE27" s="320">
        <f t="shared" si="8"/>
        <v>0</v>
      </c>
      <c r="AF27" s="320">
        <f t="shared" si="9"/>
        <v>0</v>
      </c>
      <c r="AG27" s="320">
        <f t="shared" si="10"/>
        <v>1</v>
      </c>
      <c r="AH27" s="427" t="s">
        <v>221</v>
      </c>
      <c r="AI27" s="320">
        <f t="shared" si="11"/>
        <v>1</v>
      </c>
      <c r="AJ27" s="320">
        <f t="shared" si="12"/>
        <v>1</v>
      </c>
      <c r="AK27" s="320">
        <f t="shared" si="13"/>
        <v>0</v>
      </c>
      <c r="AL27" s="320">
        <f t="shared" si="14"/>
        <v>0</v>
      </c>
      <c r="AM27" s="320">
        <f t="shared" si="15"/>
        <v>0</v>
      </c>
      <c r="AN27" s="320">
        <f t="shared" si="16"/>
        <v>0</v>
      </c>
      <c r="AO27" s="427" t="s">
        <v>229</v>
      </c>
      <c r="AP27" s="320">
        <f t="shared" si="17"/>
        <v>0</v>
      </c>
      <c r="AQ27" s="320">
        <f t="shared" si="18"/>
        <v>0</v>
      </c>
      <c r="AR27" s="320">
        <f t="shared" si="19"/>
        <v>0</v>
      </c>
      <c r="AS27" s="320">
        <f t="shared" si="20"/>
        <v>0</v>
      </c>
      <c r="AT27" s="320">
        <f t="shared" si="21"/>
        <v>0</v>
      </c>
      <c r="AU27" s="320">
        <f t="shared" si="22"/>
        <v>0</v>
      </c>
      <c r="AV27" s="427">
        <v>0</v>
      </c>
      <c r="AW27" s="320">
        <f t="shared" si="23"/>
        <v>0</v>
      </c>
      <c r="AX27" s="320">
        <f t="shared" si="24"/>
        <v>0</v>
      </c>
      <c r="AY27" s="320">
        <f t="shared" si="25"/>
        <v>0</v>
      </c>
      <c r="AZ27" s="320">
        <f t="shared" si="26"/>
        <v>0</v>
      </c>
      <c r="BA27" s="17">
        <v>0</v>
      </c>
      <c r="BB27" s="17" t="s">
        <v>1295</v>
      </c>
      <c r="BC27" s="17">
        <v>0</v>
      </c>
      <c r="BD27" s="17">
        <v>0</v>
      </c>
      <c r="BE27" s="17">
        <v>1</v>
      </c>
      <c r="BF27" s="17">
        <v>0</v>
      </c>
      <c r="BG27" s="428">
        <f t="shared" si="52"/>
        <v>0</v>
      </c>
      <c r="BH27" s="17"/>
      <c r="BI27" s="17">
        <v>0</v>
      </c>
      <c r="BJ27" s="17" t="s">
        <v>1143</v>
      </c>
      <c r="BK27" s="17"/>
      <c r="BL27" s="17">
        <v>0</v>
      </c>
      <c r="BM27" s="17" t="s">
        <v>834</v>
      </c>
      <c r="BN27" s="320">
        <f t="shared" si="27"/>
        <v>0</v>
      </c>
      <c r="BO27" s="320">
        <f t="shared" si="28"/>
        <v>0</v>
      </c>
      <c r="BP27" s="427">
        <v>0</v>
      </c>
      <c r="BQ27" s="427" t="s">
        <v>834</v>
      </c>
      <c r="BR27" s="320">
        <f t="shared" si="56"/>
        <v>0</v>
      </c>
      <c r="BS27" s="320">
        <f>IF(ISNUMBER(SEARCH("1",$BP27)),1,0)</f>
        <v>0</v>
      </c>
      <c r="BT27" s="427">
        <v>1</v>
      </c>
      <c r="BU27" s="320">
        <f t="shared" si="30"/>
        <v>1</v>
      </c>
      <c r="BV27" s="320">
        <f t="shared" si="31"/>
        <v>0</v>
      </c>
      <c r="BW27" s="320">
        <f t="shared" si="32"/>
        <v>0</v>
      </c>
      <c r="BX27" s="427" t="s">
        <v>242</v>
      </c>
      <c r="BY27" s="320">
        <f t="shared" si="33"/>
        <v>1</v>
      </c>
      <c r="BZ27" s="320">
        <f t="shared" si="34"/>
        <v>0</v>
      </c>
      <c r="CA27" s="320">
        <f t="shared" si="35"/>
        <v>1</v>
      </c>
      <c r="CB27" s="320">
        <f t="shared" si="36"/>
        <v>1</v>
      </c>
      <c r="CC27" s="427">
        <v>0</v>
      </c>
      <c r="CD27" s="320">
        <f t="shared" si="37"/>
        <v>0</v>
      </c>
      <c r="CE27" s="320">
        <f t="shared" si="38"/>
        <v>0</v>
      </c>
      <c r="CF27" s="320">
        <f t="shared" si="39"/>
        <v>0</v>
      </c>
      <c r="CG27" s="320">
        <f t="shared" si="40"/>
        <v>0</v>
      </c>
      <c r="CH27" s="427">
        <v>0</v>
      </c>
      <c r="CI27" s="427">
        <v>0</v>
      </c>
      <c r="CJ27" s="427">
        <v>0</v>
      </c>
      <c r="CK27" s="427">
        <v>0</v>
      </c>
      <c r="CL27" s="320">
        <f t="shared" si="53"/>
        <v>0</v>
      </c>
      <c r="CM27" s="320">
        <f t="shared" si="41"/>
        <v>0</v>
      </c>
      <c r="CN27" s="320">
        <f t="shared" si="42"/>
        <v>0</v>
      </c>
      <c r="CO27" s="320">
        <f t="shared" si="43"/>
        <v>0</v>
      </c>
      <c r="CP27" s="427">
        <v>1</v>
      </c>
      <c r="CQ27" s="427" t="s">
        <v>228</v>
      </c>
      <c r="CR27" s="320">
        <f t="shared" si="44"/>
        <v>1</v>
      </c>
      <c r="CS27" s="320">
        <f t="shared" si="45"/>
        <v>0</v>
      </c>
      <c r="CT27" s="320">
        <f t="shared" si="46"/>
        <v>1</v>
      </c>
      <c r="CU27" s="320">
        <f>IF(ISNUMBER(SEARCH("3",$CQ27)),1,0)</f>
        <v>0</v>
      </c>
      <c r="CV27" s="427">
        <v>0</v>
      </c>
      <c r="CW27" s="17">
        <v>1</v>
      </c>
      <c r="CX27" s="320">
        <f t="shared" si="47"/>
        <v>1</v>
      </c>
      <c r="CY27" s="320">
        <f t="shared" si="48"/>
        <v>0</v>
      </c>
      <c r="CZ27" s="320">
        <f t="shared" si="49"/>
        <v>0</v>
      </c>
      <c r="DA27" s="17">
        <v>0</v>
      </c>
      <c r="DB27" s="17">
        <v>0</v>
      </c>
      <c r="DC27" s="17">
        <v>1</v>
      </c>
      <c r="DD27" s="31"/>
      <c r="DE27" s="323" t="s">
        <v>387</v>
      </c>
      <c r="DF27" s="323" t="s">
        <v>388</v>
      </c>
      <c r="DG27" s="323" t="s">
        <v>388</v>
      </c>
      <c r="DH27" s="323" t="s">
        <v>387</v>
      </c>
      <c r="DI27" s="323"/>
      <c r="DJ27" s="323" t="s">
        <v>388</v>
      </c>
      <c r="DK27" s="323" t="s">
        <v>412</v>
      </c>
      <c r="DL27" s="323" t="s">
        <v>413</v>
      </c>
      <c r="DM27" s="323" t="s">
        <v>388</v>
      </c>
      <c r="DN27" s="323" t="s">
        <v>388</v>
      </c>
      <c r="DO27" s="323" t="s">
        <v>388</v>
      </c>
      <c r="DP27" s="324" t="s">
        <v>414</v>
      </c>
      <c r="DQ27" s="386"/>
      <c r="DR27" s="239">
        <f>SUM(DS27:DX27)/6</f>
        <v>0.18792270531400965</v>
      </c>
      <c r="DS27" s="429">
        <f t="shared" si="50"/>
        <v>0.2608695652173913</v>
      </c>
      <c r="DT27" s="429">
        <f>SUM(BA27:BE27,BG27)/5</f>
        <v>0.2</v>
      </c>
      <c r="DU27" s="429">
        <f>SUM(BI27,BO27,BS27,BU27:BW27)/6</f>
        <v>0.16666666666666666</v>
      </c>
      <c r="DV27" s="429">
        <f>SUM(BY27-CB27,CD27-CG27)/8</f>
        <v>0</v>
      </c>
      <c r="DW27" s="429">
        <f>SUM(CH27:CJ27,CL27:CO27,BN27,BR27)/9</f>
        <v>0</v>
      </c>
      <c r="DX27" s="429">
        <f>SUM(CP27,CR27:CV27)/6</f>
        <v>0.5</v>
      </c>
      <c r="DY27" s="429"/>
      <c r="DZ27" s="140"/>
      <c r="EA27" s="140"/>
      <c r="EB27" s="140"/>
      <c r="EC27" s="140"/>
      <c r="ED27" s="124"/>
      <c r="EG27" s="81"/>
      <c r="EH27" s="44">
        <v>0</v>
      </c>
      <c r="EI27" s="45"/>
      <c r="EJ27" s="33" t="b">
        <f t="shared" si="51"/>
        <v>0</v>
      </c>
      <c r="EK27" s="42"/>
      <c r="EL27" s="42"/>
      <c r="EM27" s="42"/>
      <c r="EN27" s="439"/>
      <c r="EO27" s="439"/>
      <c r="EP27" s="439"/>
      <c r="EQ27" s="39" t="s">
        <v>425</v>
      </c>
      <c r="ER27" s="440">
        <v>1</v>
      </c>
      <c r="ES27" s="431">
        <v>0</v>
      </c>
      <c r="ET27" s="431">
        <v>1</v>
      </c>
      <c r="EU27" s="431">
        <v>0</v>
      </c>
      <c r="EV27" s="447" t="s">
        <v>386</v>
      </c>
      <c r="EZ27" s="393" t="s">
        <v>42</v>
      </c>
      <c r="FA27" s="393" t="s">
        <v>738</v>
      </c>
      <c r="FB27" s="389">
        <v>62795</v>
      </c>
      <c r="FC27" s="389">
        <v>60091</v>
      </c>
      <c r="FD27" s="389">
        <v>58734</v>
      </c>
      <c r="FE27" s="389">
        <v>56209</v>
      </c>
      <c r="FF27" s="389">
        <v>54764</v>
      </c>
      <c r="FG27" s="390">
        <v>-4.5164833336106911E-3</v>
      </c>
      <c r="FH27" s="390">
        <v>-8.5980862873293144E-3</v>
      </c>
      <c r="FI27" s="390">
        <v>-5.1415253784981053E-3</v>
      </c>
      <c r="FJ27" s="391">
        <v>-0.40201514538473715</v>
      </c>
      <c r="FK27" s="391" t="s">
        <v>1386</v>
      </c>
      <c r="FL27" s="31" t="s">
        <v>1395</v>
      </c>
      <c r="FN27" s="128" t="s">
        <v>1440</v>
      </c>
      <c r="FO27" s="128" t="s">
        <v>1441</v>
      </c>
      <c r="FP27" s="128"/>
    </row>
    <row r="28" spans="1:179" ht="22" customHeight="1" x14ac:dyDescent="0.2">
      <c r="A28" s="13" t="s">
        <v>7</v>
      </c>
      <c r="B28" s="14" t="s">
        <v>8</v>
      </c>
      <c r="C28" s="14"/>
      <c r="D28" s="14"/>
      <c r="E28" s="215" t="s">
        <v>43</v>
      </c>
      <c r="F28" s="15" t="s">
        <v>1357</v>
      </c>
      <c r="G28" s="15" t="s">
        <v>721</v>
      </c>
      <c r="H28" s="95">
        <f t="shared" si="57"/>
        <v>0</v>
      </c>
      <c r="I28" s="95">
        <f t="shared" si="1"/>
        <v>0</v>
      </c>
      <c r="J28" s="95"/>
      <c r="K28" s="256">
        <f t="shared" si="2"/>
        <v>0</v>
      </c>
      <c r="L28" s="282">
        <v>0</v>
      </c>
      <c r="M28" s="162"/>
      <c r="N28" s="155">
        <v>0</v>
      </c>
      <c r="O28" s="160" t="str">
        <f t="shared" si="3"/>
        <v>N/A or not found_x000D__x000D_</v>
      </c>
      <c r="P28" s="144" t="str">
        <f>CONCATENATE(V28,R28,X28)</f>
        <v>N/A or not found_x000D__x000D_</v>
      </c>
      <c r="Q28" s="360" t="s">
        <v>925</v>
      </c>
      <c r="R28" s="64" t="s">
        <v>918</v>
      </c>
      <c r="S28" s="432"/>
      <c r="T28" s="300" t="s">
        <v>1087</v>
      </c>
      <c r="U28" s="305" t="s">
        <v>1259</v>
      </c>
      <c r="V28" s="301" t="s">
        <v>925</v>
      </c>
      <c r="W28" s="258"/>
      <c r="X28" s="306"/>
      <c r="Y28" s="296"/>
      <c r="Z28" s="426">
        <v>1</v>
      </c>
      <c r="AA28" s="320">
        <f t="shared" si="4"/>
        <v>1</v>
      </c>
      <c r="AB28" s="320">
        <f t="shared" si="5"/>
        <v>0</v>
      </c>
      <c r="AC28" s="320">
        <f t="shared" si="6"/>
        <v>0</v>
      </c>
      <c r="AD28" s="320">
        <f t="shared" si="7"/>
        <v>0</v>
      </c>
      <c r="AE28" s="320">
        <f t="shared" si="8"/>
        <v>0</v>
      </c>
      <c r="AF28" s="320">
        <f t="shared" si="9"/>
        <v>0</v>
      </c>
      <c r="AG28" s="320">
        <f t="shared" si="10"/>
        <v>0</v>
      </c>
      <c r="AH28" s="427">
        <v>1</v>
      </c>
      <c r="AI28" s="320">
        <f t="shared" si="11"/>
        <v>1</v>
      </c>
      <c r="AJ28" s="320">
        <f t="shared" si="12"/>
        <v>0</v>
      </c>
      <c r="AK28" s="320">
        <f t="shared" si="13"/>
        <v>0</v>
      </c>
      <c r="AL28" s="320">
        <f t="shared" si="14"/>
        <v>0</v>
      </c>
      <c r="AM28" s="320">
        <f t="shared" si="15"/>
        <v>0</v>
      </c>
      <c r="AN28" s="320">
        <f t="shared" si="16"/>
        <v>0</v>
      </c>
      <c r="AO28" s="427">
        <v>1</v>
      </c>
      <c r="AP28" s="320">
        <f t="shared" si="17"/>
        <v>1</v>
      </c>
      <c r="AQ28" s="320">
        <f t="shared" si="18"/>
        <v>0</v>
      </c>
      <c r="AR28" s="320">
        <f t="shared" si="19"/>
        <v>0</v>
      </c>
      <c r="AS28" s="320">
        <f t="shared" si="20"/>
        <v>0</v>
      </c>
      <c r="AT28" s="320">
        <f t="shared" si="21"/>
        <v>0</v>
      </c>
      <c r="AU28" s="320">
        <f t="shared" si="22"/>
        <v>0</v>
      </c>
      <c r="AV28" s="427">
        <v>0</v>
      </c>
      <c r="AW28" s="320">
        <f t="shared" si="23"/>
        <v>0</v>
      </c>
      <c r="AX28" s="320">
        <f t="shared" si="24"/>
        <v>0</v>
      </c>
      <c r="AY28" s="320">
        <f t="shared" si="25"/>
        <v>0</v>
      </c>
      <c r="AZ28" s="320">
        <f t="shared" si="26"/>
        <v>0</v>
      </c>
      <c r="BA28" s="17">
        <v>1</v>
      </c>
      <c r="BB28" s="17" t="s">
        <v>1302</v>
      </c>
      <c r="BC28" s="17">
        <v>0</v>
      </c>
      <c r="BD28" s="17">
        <v>1</v>
      </c>
      <c r="BE28" s="17">
        <v>0</v>
      </c>
      <c r="BF28" s="17" t="s">
        <v>818</v>
      </c>
      <c r="BG28" s="428">
        <f t="shared" si="52"/>
        <v>1</v>
      </c>
      <c r="BH28" s="17">
        <v>0</v>
      </c>
      <c r="BI28" s="17">
        <v>1</v>
      </c>
      <c r="BJ28" s="17" t="s">
        <v>1258</v>
      </c>
      <c r="BK28" s="17">
        <v>1</v>
      </c>
      <c r="BL28" s="17">
        <v>0</v>
      </c>
      <c r="BM28" s="17" t="s">
        <v>834</v>
      </c>
      <c r="BN28" s="320">
        <f t="shared" si="27"/>
        <v>0</v>
      </c>
      <c r="BO28" s="320">
        <f t="shared" si="28"/>
        <v>0</v>
      </c>
      <c r="BP28" s="427">
        <v>0</v>
      </c>
      <c r="BQ28" s="427" t="s">
        <v>1185</v>
      </c>
      <c r="BR28" s="320">
        <f t="shared" si="56"/>
        <v>0</v>
      </c>
      <c r="BS28" s="320">
        <f>IF(ISNUMBER(SEARCH("1",$BP28)),1,0)</f>
        <v>0</v>
      </c>
      <c r="BT28" s="427">
        <v>1</v>
      </c>
      <c r="BU28" s="320">
        <f t="shared" si="30"/>
        <v>1</v>
      </c>
      <c r="BV28" s="320">
        <f t="shared" si="31"/>
        <v>0</v>
      </c>
      <c r="BW28" s="320">
        <f t="shared" si="32"/>
        <v>0</v>
      </c>
      <c r="BX28" s="427" t="s">
        <v>317</v>
      </c>
      <c r="BY28" s="320">
        <f t="shared" si="33"/>
        <v>1</v>
      </c>
      <c r="BZ28" s="320">
        <f t="shared" si="34"/>
        <v>1</v>
      </c>
      <c r="CA28" s="320">
        <f t="shared" si="35"/>
        <v>0</v>
      </c>
      <c r="CB28" s="320">
        <f t="shared" si="36"/>
        <v>0</v>
      </c>
      <c r="CC28" s="427">
        <v>1</v>
      </c>
      <c r="CD28" s="320">
        <f t="shared" si="37"/>
        <v>1</v>
      </c>
      <c r="CE28" s="320">
        <f t="shared" si="38"/>
        <v>0</v>
      </c>
      <c r="CF28" s="320">
        <f t="shared" si="39"/>
        <v>0</v>
      </c>
      <c r="CG28" s="320">
        <f t="shared" si="40"/>
        <v>0</v>
      </c>
      <c r="CH28" s="427">
        <v>0</v>
      </c>
      <c r="CI28" s="427">
        <v>0</v>
      </c>
      <c r="CJ28" s="427">
        <v>0</v>
      </c>
      <c r="CK28" s="427">
        <v>3</v>
      </c>
      <c r="CL28" s="320">
        <f t="shared" si="53"/>
        <v>0</v>
      </c>
      <c r="CM28" s="320">
        <f t="shared" si="41"/>
        <v>0</v>
      </c>
      <c r="CN28" s="320">
        <f t="shared" si="42"/>
        <v>1</v>
      </c>
      <c r="CO28" s="320">
        <f t="shared" si="43"/>
        <v>0</v>
      </c>
      <c r="CP28" s="427">
        <v>0</v>
      </c>
      <c r="CQ28" s="427">
        <v>2</v>
      </c>
      <c r="CR28" s="320">
        <f t="shared" si="44"/>
        <v>0</v>
      </c>
      <c r="CS28" s="320">
        <f t="shared" si="45"/>
        <v>0</v>
      </c>
      <c r="CT28" s="320">
        <v>1</v>
      </c>
      <c r="CU28" s="320">
        <v>0</v>
      </c>
      <c r="CV28" s="427">
        <v>0</v>
      </c>
      <c r="CW28" s="17">
        <v>4</v>
      </c>
      <c r="CX28" s="320">
        <f t="shared" si="47"/>
        <v>0</v>
      </c>
      <c r="CY28" s="320">
        <f t="shared" si="48"/>
        <v>0</v>
      </c>
      <c r="CZ28" s="320">
        <f t="shared" si="49"/>
        <v>0</v>
      </c>
      <c r="DA28" s="17">
        <v>1</v>
      </c>
      <c r="DB28" s="17">
        <v>0</v>
      </c>
      <c r="DC28" s="17">
        <v>0</v>
      </c>
      <c r="DD28" s="31"/>
      <c r="DE28" s="346" t="s">
        <v>388</v>
      </c>
      <c r="DF28" s="346" t="s">
        <v>388</v>
      </c>
      <c r="DG28" s="346" t="s">
        <v>388</v>
      </c>
      <c r="DH28" s="346" t="s">
        <v>388</v>
      </c>
      <c r="DI28" s="346" t="s">
        <v>388</v>
      </c>
      <c r="DJ28" s="346" t="s">
        <v>388</v>
      </c>
      <c r="DK28" s="346" t="s">
        <v>388</v>
      </c>
      <c r="DL28" s="346" t="s">
        <v>1114</v>
      </c>
      <c r="DM28" s="346" t="s">
        <v>388</v>
      </c>
      <c r="DN28" s="346" t="s">
        <v>388</v>
      </c>
      <c r="DO28" s="346" t="s">
        <v>388</v>
      </c>
      <c r="DP28" s="348"/>
      <c r="DQ28" s="359"/>
      <c r="DR28" s="239">
        <f>SUM(DS28:DX28)/6</f>
        <v>0.26525764895330112</v>
      </c>
      <c r="DS28" s="429">
        <f t="shared" si="50"/>
        <v>0.13043478260869565</v>
      </c>
      <c r="DT28" s="429">
        <f>SUM(BA28:BE28,BG28)/5</f>
        <v>0.6</v>
      </c>
      <c r="DU28" s="429">
        <f>SUM(BI28,BO28,BS28,BU28:BW28)/6</f>
        <v>0.33333333333333331</v>
      </c>
      <c r="DV28" s="429">
        <f>SUM(BY28-CB28,CD28-CG28)/8</f>
        <v>0.25</v>
      </c>
      <c r="DW28" s="429">
        <f>SUM(CH28:CJ28,CL28:CO28,BN28,BR28)/9</f>
        <v>0.1111111111111111</v>
      </c>
      <c r="DX28" s="429">
        <f>SUM(CP28,CR28:CV28)/6</f>
        <v>0.16666666666666666</v>
      </c>
      <c r="DY28" s="169"/>
      <c r="DZ28" s="135"/>
      <c r="EA28" s="135"/>
      <c r="EB28" s="135"/>
      <c r="EC28" s="135"/>
      <c r="ED28" s="124"/>
      <c r="EG28" s="81"/>
      <c r="EH28" s="46">
        <v>0</v>
      </c>
      <c r="EI28" s="45"/>
      <c r="EJ28" s="33" t="b">
        <f t="shared" si="51"/>
        <v>0</v>
      </c>
      <c r="EK28" s="42"/>
      <c r="EL28" s="42"/>
      <c r="EM28" s="42"/>
      <c r="EN28" s="439"/>
      <c r="EO28" s="439"/>
      <c r="EP28" s="439"/>
      <c r="EQ28" s="53" t="s">
        <v>436</v>
      </c>
      <c r="ER28" s="440">
        <v>1</v>
      </c>
      <c r="ES28" s="431">
        <v>1</v>
      </c>
      <c r="ET28" s="431">
        <v>1</v>
      </c>
      <c r="EU28" s="431">
        <v>1</v>
      </c>
      <c r="EV28" s="447">
        <v>0</v>
      </c>
      <c r="EZ28" s="393" t="s">
        <v>43</v>
      </c>
      <c r="FA28" s="393" t="s">
        <v>43</v>
      </c>
      <c r="FB28" s="389">
        <v>2210</v>
      </c>
      <c r="FC28" s="389">
        <v>2185</v>
      </c>
      <c r="FD28" s="389">
        <v>2185</v>
      </c>
      <c r="FE28" s="389">
        <v>2185</v>
      </c>
      <c r="FF28" s="389">
        <v>2185</v>
      </c>
      <c r="FG28" s="390">
        <v>0</v>
      </c>
      <c r="FH28" s="390">
        <v>0</v>
      </c>
      <c r="FI28" s="390">
        <v>0</v>
      </c>
      <c r="FJ28" s="391">
        <v>0</v>
      </c>
      <c r="FK28" s="391" t="s">
        <v>1386</v>
      </c>
      <c r="FL28" s="31" t="s">
        <v>1387</v>
      </c>
      <c r="FN28" s="215" t="s">
        <v>1442</v>
      </c>
      <c r="FO28" s="215" t="s">
        <v>1443</v>
      </c>
      <c r="FP28" s="215" t="s">
        <v>1346</v>
      </c>
      <c r="FR28" s="402">
        <v>1</v>
      </c>
      <c r="FS28" s="402">
        <v>1</v>
      </c>
      <c r="FT28" s="402">
        <v>1</v>
      </c>
      <c r="FU28" s="402">
        <v>1</v>
      </c>
      <c r="FW28" s="436"/>
    </row>
    <row r="29" spans="1:179" ht="22" hidden="1" customHeight="1" x14ac:dyDescent="0.2">
      <c r="A29" s="13" t="s">
        <v>10</v>
      </c>
      <c r="B29" s="14" t="s">
        <v>44</v>
      </c>
      <c r="C29" s="14"/>
      <c r="D29" s="14"/>
      <c r="E29" s="128" t="s">
        <v>45</v>
      </c>
      <c r="F29" s="15"/>
      <c r="G29" s="15" t="s">
        <v>634</v>
      </c>
      <c r="H29" s="91">
        <f t="shared" si="57"/>
        <v>1</v>
      </c>
      <c r="I29" s="95">
        <f t="shared" si="1"/>
        <v>0</v>
      </c>
      <c r="J29" s="91"/>
      <c r="K29" s="256">
        <f t="shared" si="2"/>
        <v>1</v>
      </c>
      <c r="L29" s="101">
        <v>0</v>
      </c>
      <c r="M29" s="99"/>
      <c r="N29" s="89"/>
      <c r="O29" s="144" t="str">
        <f t="shared" si="3"/>
        <v>_x000D__x000D_</v>
      </c>
      <c r="P29" s="144"/>
      <c r="Q29" s="55"/>
      <c r="R29" s="64" t="s">
        <v>918</v>
      </c>
      <c r="S29" s="425"/>
      <c r="T29" s="300" t="s">
        <v>834</v>
      </c>
      <c r="U29" s="301" t="s">
        <v>904</v>
      </c>
      <c r="V29" s="301" t="s">
        <v>834</v>
      </c>
      <c r="W29" s="258"/>
      <c r="X29" s="307" t="s">
        <v>834</v>
      </c>
      <c r="Y29" s="274"/>
      <c r="Z29" s="426"/>
      <c r="AA29" s="320">
        <f t="shared" si="4"/>
        <v>0</v>
      </c>
      <c r="AB29" s="320">
        <f t="shared" si="5"/>
        <v>0</v>
      </c>
      <c r="AC29" s="320">
        <f t="shared" si="6"/>
        <v>0</v>
      </c>
      <c r="AD29" s="320">
        <f t="shared" si="7"/>
        <v>0</v>
      </c>
      <c r="AE29" s="320">
        <f t="shared" si="8"/>
        <v>0</v>
      </c>
      <c r="AF29" s="320">
        <f t="shared" si="9"/>
        <v>0</v>
      </c>
      <c r="AG29" s="320">
        <f t="shared" si="10"/>
        <v>0</v>
      </c>
      <c r="AH29" s="427"/>
      <c r="AI29" s="320">
        <f t="shared" si="11"/>
        <v>0</v>
      </c>
      <c r="AJ29" s="320">
        <f t="shared" si="12"/>
        <v>0</v>
      </c>
      <c r="AK29" s="320">
        <f t="shared" si="13"/>
        <v>0</v>
      </c>
      <c r="AL29" s="320">
        <f t="shared" si="14"/>
        <v>0</v>
      </c>
      <c r="AM29" s="320">
        <f t="shared" si="15"/>
        <v>0</v>
      </c>
      <c r="AN29" s="320">
        <f t="shared" si="16"/>
        <v>0</v>
      </c>
      <c r="AO29" s="427"/>
      <c r="AP29" s="320">
        <f t="shared" si="17"/>
        <v>0</v>
      </c>
      <c r="AQ29" s="320">
        <f t="shared" si="18"/>
        <v>0</v>
      </c>
      <c r="AR29" s="320">
        <f t="shared" si="19"/>
        <v>0</v>
      </c>
      <c r="AS29" s="320">
        <f t="shared" si="20"/>
        <v>0</v>
      </c>
      <c r="AT29" s="320">
        <f t="shared" si="21"/>
        <v>0</v>
      </c>
      <c r="AU29" s="320">
        <f t="shared" si="22"/>
        <v>0</v>
      </c>
      <c r="AV29" s="427"/>
      <c r="AW29" s="320">
        <f t="shared" si="23"/>
        <v>0</v>
      </c>
      <c r="AX29" s="320">
        <f t="shared" si="24"/>
        <v>0</v>
      </c>
      <c r="AY29" s="320">
        <f t="shared" si="25"/>
        <v>0</v>
      </c>
      <c r="AZ29" s="320">
        <f t="shared" si="26"/>
        <v>0</v>
      </c>
      <c r="BA29" s="17"/>
      <c r="BB29" s="17" t="s">
        <v>834</v>
      </c>
      <c r="BC29" s="17"/>
      <c r="BD29" s="17"/>
      <c r="BE29" s="17"/>
      <c r="BF29" s="17"/>
      <c r="BG29" s="428">
        <f t="shared" si="52"/>
        <v>0</v>
      </c>
      <c r="BH29" s="17"/>
      <c r="BI29" s="17" t="s">
        <v>645</v>
      </c>
      <c r="BJ29" s="17"/>
      <c r="BK29" s="17"/>
      <c r="BL29" s="17"/>
      <c r="BM29" s="17"/>
      <c r="BN29" s="320">
        <f t="shared" si="27"/>
        <v>0</v>
      </c>
      <c r="BO29" s="320">
        <f t="shared" si="28"/>
        <v>0</v>
      </c>
      <c r="BP29" s="427"/>
      <c r="BQ29" s="427"/>
      <c r="BR29" s="320">
        <f t="shared" si="56"/>
        <v>0</v>
      </c>
      <c r="BS29" s="320">
        <f>IF(ISNUMBER(SEARCH("1",$BP29)),1,0)</f>
        <v>0</v>
      </c>
      <c r="BT29" s="427"/>
      <c r="BU29" s="320">
        <f t="shared" si="30"/>
        <v>0</v>
      </c>
      <c r="BV29" s="320">
        <f t="shared" si="31"/>
        <v>0</v>
      </c>
      <c r="BW29" s="320">
        <f t="shared" si="32"/>
        <v>0</v>
      </c>
      <c r="BX29" s="427"/>
      <c r="BY29" s="320">
        <f t="shared" si="33"/>
        <v>0</v>
      </c>
      <c r="BZ29" s="320">
        <f t="shared" si="34"/>
        <v>0</v>
      </c>
      <c r="CA29" s="320">
        <f t="shared" si="35"/>
        <v>0</v>
      </c>
      <c r="CB29" s="320">
        <f t="shared" si="36"/>
        <v>0</v>
      </c>
      <c r="CC29" s="427"/>
      <c r="CD29" s="320">
        <f t="shared" si="37"/>
        <v>0</v>
      </c>
      <c r="CE29" s="320">
        <f t="shared" si="38"/>
        <v>0</v>
      </c>
      <c r="CF29" s="320">
        <f t="shared" si="39"/>
        <v>0</v>
      </c>
      <c r="CG29" s="320">
        <f t="shared" si="40"/>
        <v>0</v>
      </c>
      <c r="CH29" s="427"/>
      <c r="CI29" s="427"/>
      <c r="CJ29" s="427"/>
      <c r="CK29" s="427"/>
      <c r="CL29" s="320">
        <f t="shared" si="53"/>
        <v>0</v>
      </c>
      <c r="CM29" s="320">
        <f t="shared" si="41"/>
        <v>0</v>
      </c>
      <c r="CN29" s="320">
        <f t="shared" si="42"/>
        <v>0</v>
      </c>
      <c r="CO29" s="320">
        <f t="shared" si="43"/>
        <v>0</v>
      </c>
      <c r="CP29" s="427"/>
      <c r="CQ29" s="427"/>
      <c r="CR29" s="320">
        <f t="shared" si="44"/>
        <v>0</v>
      </c>
      <c r="CS29" s="320">
        <f t="shared" si="45"/>
        <v>0</v>
      </c>
      <c r="CT29" s="320">
        <f t="shared" ref="CT29:CT92" si="58">IF(ISNUMBER(SEARCH("2",$CQ29)),1,0)</f>
        <v>0</v>
      </c>
      <c r="CU29" s="320">
        <f t="shared" ref="CU29:CU92" si="59">IF(ISNUMBER(SEARCH("3",$CQ29)),1,0)</f>
        <v>0</v>
      </c>
      <c r="CV29" s="427"/>
      <c r="CW29" s="17"/>
      <c r="CX29" s="320">
        <f t="shared" si="47"/>
        <v>0</v>
      </c>
      <c r="CY29" s="320">
        <f t="shared" si="48"/>
        <v>0</v>
      </c>
      <c r="CZ29" s="320">
        <f t="shared" si="49"/>
        <v>0</v>
      </c>
      <c r="DA29" s="17"/>
      <c r="DB29" s="17"/>
      <c r="DC29" s="17"/>
      <c r="DD29" s="31"/>
      <c r="DE29" s="323"/>
      <c r="DF29" s="323"/>
      <c r="DG29" s="323"/>
      <c r="DH29" s="323"/>
      <c r="DI29" s="323"/>
      <c r="DJ29" s="323"/>
      <c r="DK29" s="323"/>
      <c r="DL29" s="323"/>
      <c r="DM29" s="323"/>
      <c r="DN29" s="323"/>
      <c r="DO29" s="323"/>
      <c r="DP29" s="324"/>
      <c r="DQ29" s="385"/>
      <c r="DR29" s="242"/>
      <c r="DS29" s="429">
        <f t="shared" si="50"/>
        <v>0</v>
      </c>
      <c r="DT29" s="438"/>
      <c r="DU29" s="59"/>
      <c r="DV29" s="59"/>
      <c r="DW29" s="59"/>
      <c r="DX29" s="59"/>
      <c r="DY29" s="59"/>
      <c r="DZ29" s="134"/>
      <c r="EA29" s="134"/>
      <c r="EB29" s="134"/>
      <c r="EC29" s="134"/>
      <c r="ED29" s="123"/>
      <c r="EH29" s="44">
        <v>0</v>
      </c>
      <c r="EI29" s="56"/>
      <c r="EJ29" s="33" t="b">
        <f t="shared" si="51"/>
        <v>0</v>
      </c>
      <c r="EK29" s="57"/>
      <c r="EL29" s="57"/>
      <c r="EM29" s="57"/>
      <c r="EN29" s="441"/>
      <c r="EO29" s="441"/>
      <c r="EP29" s="441"/>
      <c r="EQ29" s="62"/>
      <c r="ER29" s="225">
        <v>1</v>
      </c>
      <c r="ES29" s="63"/>
      <c r="ET29" s="450">
        <v>1</v>
      </c>
      <c r="EU29" s="60"/>
      <c r="EV29" s="147"/>
      <c r="EZ29" s="393" t="s">
        <v>45</v>
      </c>
      <c r="FA29" s="393" t="s">
        <v>45</v>
      </c>
      <c r="FB29" s="389">
        <v>13718</v>
      </c>
      <c r="FC29" s="389">
        <v>12535</v>
      </c>
      <c r="FD29" s="389">
        <v>11943</v>
      </c>
      <c r="FE29" s="389">
        <v>11351</v>
      </c>
      <c r="FF29" s="389">
        <v>10840</v>
      </c>
      <c r="FG29" s="390">
        <v>-9.4455524531312333E-3</v>
      </c>
      <c r="FH29" s="390">
        <v>-9.913757012475927E-3</v>
      </c>
      <c r="FI29" s="390">
        <v>-9.0036120165624175E-3</v>
      </c>
      <c r="FJ29" s="391">
        <v>-9.1806264241512198E-2</v>
      </c>
      <c r="FK29" s="391" t="s">
        <v>1386</v>
      </c>
      <c r="FL29" s="31" t="s">
        <v>1391</v>
      </c>
      <c r="FN29" s="128" t="s">
        <v>1444</v>
      </c>
      <c r="FO29" s="128" t="s">
        <v>1445</v>
      </c>
      <c r="FP29" s="128"/>
    </row>
    <row r="30" spans="1:179" ht="22" hidden="1" customHeight="1" x14ac:dyDescent="0.2">
      <c r="A30" s="13" t="s">
        <v>16</v>
      </c>
      <c r="B30" s="19" t="s">
        <v>19</v>
      </c>
      <c r="C30" s="19"/>
      <c r="D30" s="19"/>
      <c r="E30" s="128" t="s">
        <v>46</v>
      </c>
      <c r="F30" s="15" t="s">
        <v>637</v>
      </c>
      <c r="G30" s="15" t="s">
        <v>634</v>
      </c>
      <c r="H30" s="95">
        <f t="shared" si="57"/>
        <v>1</v>
      </c>
      <c r="I30" s="95">
        <f t="shared" si="1"/>
        <v>2</v>
      </c>
      <c r="J30" s="95">
        <v>2</v>
      </c>
      <c r="K30" s="256">
        <f t="shared" si="2"/>
        <v>5</v>
      </c>
      <c r="L30" s="278" t="s">
        <v>640</v>
      </c>
      <c r="M30" s="25"/>
      <c r="N30" s="88" t="s">
        <v>655</v>
      </c>
      <c r="O30" s="144" t="str">
        <f t="shared" si="3"/>
        <v>Restoring and reforesting 12 million hectares of forests by 2030_x000D__x000D_Compensating for greenhouse gas emissions from legal suppression of vegetation by 2030</v>
      </c>
      <c r="P30" s="144" t="str">
        <f>CONCATENATE(V30,R30,X30)</f>
        <v>Brazil intends to adopt further measures that are consistent with the 2°C temperature goal, in particular in land use change and forests:_x000D_- strengthening and enforcing the implementation of the Forest Code, at federal, state and municipal levels;_x000D_- strengthening policies and measures with a view to achieve, in the Brazilian Amazonia, zero illegal deforestation by 2030 and compensating for greenhouse gas emissions from legal suppression of vegetation by 2030;_x000D_- restoring and reforesting 12 million hectares of forests by 2030, for multiple purposes;_x000D_- enhancing sustainable native forest management systems, through georeferencing and tracking systems applicable to native forest management, with a view to curbing illegal and unsustainable practices_x000D__x000D_In addition, Brazil also intends to:_x000D_iv)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v>
      </c>
      <c r="Q30" s="370" t="s">
        <v>526</v>
      </c>
      <c r="R30" s="64" t="s">
        <v>918</v>
      </c>
      <c r="S30" s="446" t="s">
        <v>527</v>
      </c>
      <c r="T30" s="301" t="s">
        <v>1071</v>
      </c>
      <c r="U30" s="301" t="s">
        <v>939</v>
      </c>
      <c r="V30" s="301" t="s">
        <v>420</v>
      </c>
      <c r="W30" s="258" t="s">
        <v>423</v>
      </c>
      <c r="X30" s="307" t="s">
        <v>955</v>
      </c>
      <c r="Y30" s="297"/>
      <c r="Z30" s="426" t="s">
        <v>223</v>
      </c>
      <c r="AA30" s="320">
        <f t="shared" si="4"/>
        <v>1</v>
      </c>
      <c r="AB30" s="320">
        <f t="shared" si="5"/>
        <v>1</v>
      </c>
      <c r="AC30" s="320">
        <f t="shared" si="6"/>
        <v>1</v>
      </c>
      <c r="AD30" s="320">
        <f t="shared" si="7"/>
        <v>1</v>
      </c>
      <c r="AE30" s="320">
        <f t="shared" si="8"/>
        <v>1</v>
      </c>
      <c r="AF30" s="320">
        <f t="shared" si="9"/>
        <v>1</v>
      </c>
      <c r="AG30" s="320">
        <f t="shared" si="10"/>
        <v>1</v>
      </c>
      <c r="AH30" s="427" t="s">
        <v>224</v>
      </c>
      <c r="AI30" s="320">
        <f t="shared" si="11"/>
        <v>1</v>
      </c>
      <c r="AJ30" s="320">
        <f t="shared" si="12"/>
        <v>0</v>
      </c>
      <c r="AK30" s="320">
        <f t="shared" si="13"/>
        <v>1</v>
      </c>
      <c r="AL30" s="320">
        <f t="shared" si="14"/>
        <v>0</v>
      </c>
      <c r="AM30" s="320">
        <f t="shared" si="15"/>
        <v>1</v>
      </c>
      <c r="AN30" s="320">
        <f t="shared" si="16"/>
        <v>0</v>
      </c>
      <c r="AO30" s="427" t="s">
        <v>225</v>
      </c>
      <c r="AP30" s="320">
        <f t="shared" si="17"/>
        <v>1</v>
      </c>
      <c r="AQ30" s="320">
        <f t="shared" si="18"/>
        <v>0</v>
      </c>
      <c r="AR30" s="320">
        <f t="shared" si="19"/>
        <v>0</v>
      </c>
      <c r="AS30" s="320">
        <f t="shared" si="20"/>
        <v>0</v>
      </c>
      <c r="AT30" s="320">
        <f t="shared" si="21"/>
        <v>0</v>
      </c>
      <c r="AU30" s="320">
        <f t="shared" si="22"/>
        <v>0</v>
      </c>
      <c r="AV30" s="427">
        <v>1</v>
      </c>
      <c r="AW30" s="320">
        <f t="shared" si="23"/>
        <v>1</v>
      </c>
      <c r="AX30" s="320">
        <f t="shared" si="24"/>
        <v>0</v>
      </c>
      <c r="AY30" s="320">
        <f t="shared" si="25"/>
        <v>0</v>
      </c>
      <c r="AZ30" s="320">
        <f t="shared" si="26"/>
        <v>0</v>
      </c>
      <c r="BA30" s="17">
        <v>1</v>
      </c>
      <c r="BB30" s="17" t="s">
        <v>1285</v>
      </c>
      <c r="BC30" s="17">
        <v>1</v>
      </c>
      <c r="BD30" s="17">
        <v>1</v>
      </c>
      <c r="BE30" s="17">
        <v>1</v>
      </c>
      <c r="BF30" s="17">
        <v>1</v>
      </c>
      <c r="BG30" s="428">
        <f t="shared" si="52"/>
        <v>1</v>
      </c>
      <c r="BH30" s="17"/>
      <c r="BI30" s="17">
        <v>1</v>
      </c>
      <c r="BJ30" s="17" t="s">
        <v>1132</v>
      </c>
      <c r="BK30" s="17"/>
      <c r="BL30" s="17">
        <v>1</v>
      </c>
      <c r="BM30" s="17" t="s">
        <v>834</v>
      </c>
      <c r="BN30" s="320">
        <f t="shared" si="27"/>
        <v>1</v>
      </c>
      <c r="BO30" s="320">
        <f t="shared" si="28"/>
        <v>0</v>
      </c>
      <c r="BP30" s="427">
        <v>1</v>
      </c>
      <c r="BQ30" s="427" t="s">
        <v>834</v>
      </c>
      <c r="BR30" s="320">
        <f t="shared" si="56"/>
        <v>1</v>
      </c>
      <c r="BS30" s="320">
        <f>IF(ISNUMBER(SEARCH("1",$BP30)),1,0)</f>
        <v>1</v>
      </c>
      <c r="BT30" s="427" t="s">
        <v>246</v>
      </c>
      <c r="BU30" s="320">
        <f t="shared" si="30"/>
        <v>1</v>
      </c>
      <c r="BV30" s="320">
        <f t="shared" si="31"/>
        <v>1</v>
      </c>
      <c r="BW30" s="320">
        <f t="shared" si="32"/>
        <v>0</v>
      </c>
      <c r="BX30" s="427" t="s">
        <v>224</v>
      </c>
      <c r="BY30" s="320">
        <f t="shared" si="33"/>
        <v>1</v>
      </c>
      <c r="BZ30" s="320">
        <f t="shared" si="34"/>
        <v>1</v>
      </c>
      <c r="CA30" s="320">
        <f t="shared" si="35"/>
        <v>1</v>
      </c>
      <c r="CB30" s="320">
        <f t="shared" si="36"/>
        <v>0</v>
      </c>
      <c r="CC30" s="427" t="s">
        <v>224</v>
      </c>
      <c r="CD30" s="320">
        <f t="shared" si="37"/>
        <v>1</v>
      </c>
      <c r="CE30" s="320">
        <f t="shared" si="38"/>
        <v>1</v>
      </c>
      <c r="CF30" s="320">
        <f t="shared" si="39"/>
        <v>1</v>
      </c>
      <c r="CG30" s="320">
        <f t="shared" si="40"/>
        <v>0</v>
      </c>
      <c r="CH30" s="427">
        <v>1</v>
      </c>
      <c r="CI30" s="427">
        <v>1</v>
      </c>
      <c r="CJ30" s="427">
        <v>1</v>
      </c>
      <c r="CK30" s="427">
        <v>0</v>
      </c>
      <c r="CL30" s="320">
        <f t="shared" si="53"/>
        <v>0</v>
      </c>
      <c r="CM30" s="320">
        <f t="shared" si="41"/>
        <v>0</v>
      </c>
      <c r="CN30" s="320">
        <f t="shared" si="42"/>
        <v>0</v>
      </c>
      <c r="CO30" s="320">
        <f t="shared" si="43"/>
        <v>0</v>
      </c>
      <c r="CP30" s="427">
        <v>1</v>
      </c>
      <c r="CQ30" s="427">
        <v>1</v>
      </c>
      <c r="CR30" s="320">
        <f t="shared" si="44"/>
        <v>1</v>
      </c>
      <c r="CS30" s="320">
        <f t="shared" si="45"/>
        <v>0</v>
      </c>
      <c r="CT30" s="320">
        <f t="shared" si="58"/>
        <v>0</v>
      </c>
      <c r="CU30" s="320">
        <f t="shared" si="59"/>
        <v>0</v>
      </c>
      <c r="CV30" s="427">
        <v>1</v>
      </c>
      <c r="CW30" s="17">
        <v>1</v>
      </c>
      <c r="CX30" s="320">
        <f t="shared" si="47"/>
        <v>1</v>
      </c>
      <c r="CY30" s="320">
        <f t="shared" si="48"/>
        <v>0</v>
      </c>
      <c r="CZ30" s="320">
        <f t="shared" si="49"/>
        <v>0</v>
      </c>
      <c r="DA30" s="17">
        <v>1</v>
      </c>
      <c r="DB30" s="17">
        <v>0</v>
      </c>
      <c r="DC30" s="17">
        <v>0</v>
      </c>
      <c r="DD30" s="31"/>
      <c r="DE30" s="321" t="s">
        <v>387</v>
      </c>
      <c r="DF30" s="321" t="s">
        <v>388</v>
      </c>
      <c r="DG30" s="321" t="s">
        <v>388</v>
      </c>
      <c r="DH30" s="321" t="s">
        <v>387</v>
      </c>
      <c r="DI30" s="321"/>
      <c r="DJ30" s="321" t="s">
        <v>388</v>
      </c>
      <c r="DK30" s="321" t="s">
        <v>420</v>
      </c>
      <c r="DL30" s="321" t="s">
        <v>421</v>
      </c>
      <c r="DM30" s="321" t="s">
        <v>422</v>
      </c>
      <c r="DN30" s="321" t="s">
        <v>388</v>
      </c>
      <c r="DO30" s="321" t="s">
        <v>388</v>
      </c>
      <c r="DP30" s="322" t="s">
        <v>423</v>
      </c>
      <c r="DQ30" s="386"/>
      <c r="DR30" s="240">
        <f>SUM(DS30:DX30)/6</f>
        <v>0.58232689210950073</v>
      </c>
      <c r="DS30" s="429">
        <f t="shared" si="50"/>
        <v>0.52173913043478259</v>
      </c>
      <c r="DT30" s="429">
        <f>SUM(BA30:BE30,BG30)/5</f>
        <v>1</v>
      </c>
      <c r="DU30" s="429">
        <f>SUM(BI30,BO30,BS30,BU30:BW30)/6</f>
        <v>0.66666666666666663</v>
      </c>
      <c r="DV30" s="429">
        <f>SUM(BY30-CB30,CD30-CG30)/8</f>
        <v>0.25</v>
      </c>
      <c r="DW30" s="429">
        <f>SUM(CH30:CJ30,CL30:CO30,BN30,BR30)/9</f>
        <v>0.55555555555555558</v>
      </c>
      <c r="DX30" s="429">
        <f>SUM(CP30,CR30:CV30)/6</f>
        <v>0.5</v>
      </c>
      <c r="DY30" s="444"/>
      <c r="DZ30" s="140" t="s">
        <v>687</v>
      </c>
      <c r="EA30" s="139"/>
      <c r="EB30" s="139" t="s">
        <v>788</v>
      </c>
      <c r="EC30" s="139" t="s">
        <v>785</v>
      </c>
      <c r="ED30" s="123">
        <v>2</v>
      </c>
      <c r="EG30" s="81"/>
      <c r="EH30" s="44"/>
      <c r="EI30" s="45"/>
      <c r="EJ30" s="33" t="e">
        <f t="shared" si="51"/>
        <v>#VALUE!</v>
      </c>
      <c r="EK30" s="439"/>
      <c r="EL30" s="439"/>
      <c r="EM30" s="439"/>
      <c r="EN30" s="439"/>
      <c r="EO30" s="439"/>
      <c r="EP30" s="439"/>
      <c r="EQ30" s="38"/>
      <c r="ER30" s="229">
        <v>0</v>
      </c>
      <c r="ES30" s="68"/>
      <c r="ET30" s="445">
        <v>0</v>
      </c>
      <c r="EU30" s="69"/>
      <c r="EV30" s="151"/>
      <c r="EZ30" s="393" t="s">
        <v>46</v>
      </c>
      <c r="FA30" s="393" t="s">
        <v>46</v>
      </c>
      <c r="FB30" s="389">
        <v>546705</v>
      </c>
      <c r="FC30" s="389">
        <v>521274</v>
      </c>
      <c r="FD30" s="389">
        <v>506734</v>
      </c>
      <c r="FE30" s="389">
        <v>498458</v>
      </c>
      <c r="FF30" s="389">
        <v>493538</v>
      </c>
      <c r="FG30" s="390">
        <v>-5.5786400242482841E-3</v>
      </c>
      <c r="FH30" s="390">
        <v>-3.2664080168293428E-3</v>
      </c>
      <c r="FI30" s="390">
        <v>-1.9740880876623506E-3</v>
      </c>
      <c r="FJ30" s="391">
        <v>-0.39563946772988551</v>
      </c>
      <c r="FK30" s="391" t="s">
        <v>1386</v>
      </c>
      <c r="FL30" s="31" t="s">
        <v>1395</v>
      </c>
      <c r="FN30" s="128" t="s">
        <v>1446</v>
      </c>
      <c r="FO30" s="128" t="s">
        <v>1447</v>
      </c>
      <c r="FP30" s="128"/>
    </row>
    <row r="31" spans="1:179" ht="22" hidden="1" customHeight="1" x14ac:dyDescent="0.2">
      <c r="A31" s="13" t="s">
        <v>4</v>
      </c>
      <c r="B31" s="14" t="s">
        <v>47</v>
      </c>
      <c r="C31" s="14"/>
      <c r="D31" s="14" t="s">
        <v>1068</v>
      </c>
      <c r="E31" s="128" t="s">
        <v>48</v>
      </c>
      <c r="F31" s="15" t="s">
        <v>638</v>
      </c>
      <c r="G31" s="15" t="s">
        <v>634</v>
      </c>
      <c r="H31" s="95">
        <f t="shared" si="57"/>
        <v>1</v>
      </c>
      <c r="I31" s="95">
        <f t="shared" si="1"/>
        <v>0</v>
      </c>
      <c r="J31" s="95"/>
      <c r="K31" s="256">
        <f t="shared" si="2"/>
        <v>1</v>
      </c>
      <c r="L31" s="278">
        <v>0</v>
      </c>
      <c r="M31" s="25"/>
      <c r="N31" s="89"/>
      <c r="O31" s="144" t="str">
        <f t="shared" si="3"/>
        <v>_x000D__x000D_</v>
      </c>
      <c r="P31" s="144" t="str">
        <f>CONCATENATE(V31,R31,X31)</f>
        <v xml:space="preserve">N/A or not found_x000D__x000D_ </v>
      </c>
      <c r="Q31" s="55"/>
      <c r="R31" s="64" t="s">
        <v>918</v>
      </c>
      <c r="S31" s="425"/>
      <c r="T31" s="301" t="s">
        <v>925</v>
      </c>
      <c r="U31" s="301" t="s">
        <v>925</v>
      </c>
      <c r="V31" s="301" t="s">
        <v>925</v>
      </c>
      <c r="W31" s="258"/>
      <c r="X31" s="307" t="s">
        <v>924</v>
      </c>
      <c r="Y31" s="274"/>
      <c r="Z31" s="426" t="s">
        <v>221</v>
      </c>
      <c r="AA31" s="320">
        <f t="shared" si="4"/>
        <v>1</v>
      </c>
      <c r="AB31" s="320">
        <f t="shared" si="5"/>
        <v>1</v>
      </c>
      <c r="AC31" s="320">
        <f t="shared" si="6"/>
        <v>0</v>
      </c>
      <c r="AD31" s="320">
        <f t="shared" si="7"/>
        <v>0</v>
      </c>
      <c r="AE31" s="320">
        <f t="shared" si="8"/>
        <v>0</v>
      </c>
      <c r="AF31" s="320">
        <f t="shared" si="9"/>
        <v>0</v>
      </c>
      <c r="AG31" s="320">
        <f t="shared" si="10"/>
        <v>1</v>
      </c>
      <c r="AH31" s="427">
        <v>0</v>
      </c>
      <c r="AI31" s="320">
        <f t="shared" si="11"/>
        <v>0</v>
      </c>
      <c r="AJ31" s="320">
        <f t="shared" si="12"/>
        <v>0</v>
      </c>
      <c r="AK31" s="320">
        <f t="shared" si="13"/>
        <v>0</v>
      </c>
      <c r="AL31" s="320">
        <f t="shared" si="14"/>
        <v>0</v>
      </c>
      <c r="AM31" s="320">
        <f t="shared" si="15"/>
        <v>0</v>
      </c>
      <c r="AN31" s="320">
        <f t="shared" si="16"/>
        <v>0</v>
      </c>
      <c r="AO31" s="427" t="s">
        <v>221</v>
      </c>
      <c r="AP31" s="320">
        <f t="shared" si="17"/>
        <v>1</v>
      </c>
      <c r="AQ31" s="320">
        <f t="shared" si="18"/>
        <v>1</v>
      </c>
      <c r="AR31" s="320">
        <f t="shared" si="19"/>
        <v>0</v>
      </c>
      <c r="AS31" s="320">
        <f t="shared" si="20"/>
        <v>0</v>
      </c>
      <c r="AT31" s="320">
        <f t="shared" si="21"/>
        <v>0</v>
      </c>
      <c r="AU31" s="320">
        <f t="shared" si="22"/>
        <v>0</v>
      </c>
      <c r="AV31" s="427">
        <v>0</v>
      </c>
      <c r="AW31" s="320">
        <f t="shared" si="23"/>
        <v>0</v>
      </c>
      <c r="AX31" s="320">
        <f t="shared" si="24"/>
        <v>0</v>
      </c>
      <c r="AY31" s="320">
        <f t="shared" si="25"/>
        <v>0</v>
      </c>
      <c r="AZ31" s="320">
        <f t="shared" si="26"/>
        <v>0</v>
      </c>
      <c r="BA31" s="17">
        <v>0</v>
      </c>
      <c r="BB31" s="17" t="s">
        <v>834</v>
      </c>
      <c r="BC31" s="17">
        <v>0</v>
      </c>
      <c r="BD31" s="17">
        <v>0</v>
      </c>
      <c r="BE31" s="17">
        <v>0</v>
      </c>
      <c r="BF31" s="17">
        <v>0</v>
      </c>
      <c r="BG31" s="428">
        <f t="shared" si="52"/>
        <v>0</v>
      </c>
      <c r="BH31" s="17">
        <v>0</v>
      </c>
      <c r="BI31" s="17">
        <v>0</v>
      </c>
      <c r="BJ31" s="17" t="s">
        <v>834</v>
      </c>
      <c r="BK31" s="17"/>
      <c r="BL31" s="17">
        <v>1</v>
      </c>
      <c r="BM31" s="17" t="s">
        <v>1217</v>
      </c>
      <c r="BN31" s="320">
        <f t="shared" si="27"/>
        <v>1</v>
      </c>
      <c r="BO31" s="320">
        <f t="shared" si="28"/>
        <v>0</v>
      </c>
      <c r="BP31" s="427">
        <v>1</v>
      </c>
      <c r="BQ31" s="427" t="s">
        <v>1218</v>
      </c>
      <c r="BR31" s="320">
        <f t="shared" si="56"/>
        <v>1</v>
      </c>
      <c r="BS31" s="320">
        <f>IF(ISNUMBER(SEARCH("t",$BP31)),1,0)</f>
        <v>0</v>
      </c>
      <c r="BT31" s="427">
        <v>0</v>
      </c>
      <c r="BU31" s="320">
        <f t="shared" si="30"/>
        <v>0</v>
      </c>
      <c r="BV31" s="320">
        <f t="shared" si="31"/>
        <v>0</v>
      </c>
      <c r="BW31" s="320">
        <f t="shared" si="32"/>
        <v>0</v>
      </c>
      <c r="BX31" s="427">
        <v>0</v>
      </c>
      <c r="BY31" s="320">
        <f t="shared" si="33"/>
        <v>0</v>
      </c>
      <c r="BZ31" s="320">
        <f t="shared" si="34"/>
        <v>0</v>
      </c>
      <c r="CA31" s="320">
        <f t="shared" si="35"/>
        <v>0</v>
      </c>
      <c r="CB31" s="320">
        <f t="shared" si="36"/>
        <v>0</v>
      </c>
      <c r="CC31" s="427">
        <v>0</v>
      </c>
      <c r="CD31" s="320">
        <f t="shared" si="37"/>
        <v>0</v>
      </c>
      <c r="CE31" s="320">
        <f t="shared" si="38"/>
        <v>0</v>
      </c>
      <c r="CF31" s="320">
        <f t="shared" si="39"/>
        <v>0</v>
      </c>
      <c r="CG31" s="320">
        <f t="shared" si="40"/>
        <v>0</v>
      </c>
      <c r="CH31" s="427">
        <v>0</v>
      </c>
      <c r="CI31" s="427">
        <v>0</v>
      </c>
      <c r="CJ31" s="427">
        <v>0</v>
      </c>
      <c r="CK31" s="427">
        <v>0</v>
      </c>
      <c r="CL31" s="320">
        <f t="shared" si="53"/>
        <v>0</v>
      </c>
      <c r="CM31" s="320">
        <f t="shared" si="41"/>
        <v>0</v>
      </c>
      <c r="CN31" s="320">
        <f t="shared" si="42"/>
        <v>0</v>
      </c>
      <c r="CO31" s="320">
        <f t="shared" si="43"/>
        <v>0</v>
      </c>
      <c r="CP31" s="427">
        <v>0</v>
      </c>
      <c r="CQ31" s="427">
        <v>0</v>
      </c>
      <c r="CR31" s="320">
        <f t="shared" si="44"/>
        <v>0</v>
      </c>
      <c r="CS31" s="320">
        <f t="shared" si="45"/>
        <v>0</v>
      </c>
      <c r="CT31" s="320">
        <f t="shared" si="58"/>
        <v>0</v>
      </c>
      <c r="CU31" s="320">
        <f t="shared" si="59"/>
        <v>0</v>
      </c>
      <c r="CV31" s="427">
        <v>0</v>
      </c>
      <c r="CW31" s="17">
        <v>4</v>
      </c>
      <c r="CX31" s="320">
        <f t="shared" si="47"/>
        <v>0</v>
      </c>
      <c r="CY31" s="320">
        <f t="shared" si="48"/>
        <v>0</v>
      </c>
      <c r="CZ31" s="320">
        <f t="shared" si="49"/>
        <v>0</v>
      </c>
      <c r="DA31" s="17">
        <v>0</v>
      </c>
      <c r="DB31" s="17">
        <v>0</v>
      </c>
      <c r="DC31" s="17">
        <v>0</v>
      </c>
      <c r="DD31" s="31"/>
      <c r="DE31" s="161"/>
      <c r="DF31" s="161"/>
      <c r="DG31" s="161"/>
      <c r="DH31" s="161"/>
      <c r="DI31" s="161"/>
      <c r="DJ31" s="161"/>
      <c r="DK31" s="161"/>
      <c r="DL31" s="161"/>
      <c r="DM31" s="161"/>
      <c r="DN31" s="161"/>
      <c r="DO31" s="161"/>
      <c r="DP31" s="327"/>
      <c r="DQ31" s="385"/>
      <c r="DR31" s="239">
        <f>SUM(DS31:DX31)/6</f>
        <v>7.3268921095008044E-2</v>
      </c>
      <c r="DS31" s="429">
        <f t="shared" si="50"/>
        <v>0.21739130434782608</v>
      </c>
      <c r="DT31" s="429">
        <f>SUM(BA31:BE31,BG31)/5</f>
        <v>0</v>
      </c>
      <c r="DU31" s="429">
        <f>SUM(BI31,BO31,BS31,BU31:BW31)/6</f>
        <v>0</v>
      </c>
      <c r="DV31" s="429">
        <f>SUM(BY31-CB31,CD31-CG31)/8</f>
        <v>0</v>
      </c>
      <c r="DW31" s="429">
        <f>SUM(CH31:CJ31,CL31:CO31,BN31,BR31)/9</f>
        <v>0.22222222222222221</v>
      </c>
      <c r="DX31" s="429">
        <f>SUM(CP31,CR31:CV31)/6</f>
        <v>0</v>
      </c>
      <c r="DY31" s="429"/>
      <c r="DZ31" s="137"/>
      <c r="EA31" s="135"/>
      <c r="EB31" s="135"/>
      <c r="EC31" s="135"/>
      <c r="ED31" s="124"/>
      <c r="EG31" s="81"/>
      <c r="EH31" s="46"/>
      <c r="EI31" s="45"/>
      <c r="EJ31" s="33" t="b">
        <f t="shared" si="51"/>
        <v>0</v>
      </c>
      <c r="EK31" s="42"/>
      <c r="EL31" s="42"/>
      <c r="EM31" s="42"/>
      <c r="EN31" s="439"/>
      <c r="EO31" s="439"/>
      <c r="EP31" s="439"/>
      <c r="EQ31" s="47"/>
      <c r="ER31" s="440">
        <v>0</v>
      </c>
      <c r="ES31" s="431"/>
      <c r="ET31" s="431">
        <v>0</v>
      </c>
      <c r="EU31" s="431"/>
      <c r="EV31" s="447"/>
      <c r="EZ31" s="393" t="s">
        <v>48</v>
      </c>
      <c r="FA31" s="393" t="s">
        <v>48</v>
      </c>
      <c r="FB31" s="389">
        <v>413</v>
      </c>
      <c r="FC31" s="389">
        <v>397</v>
      </c>
      <c r="FD31" s="389">
        <v>389</v>
      </c>
      <c r="FE31" s="389">
        <v>380</v>
      </c>
      <c r="FF31" s="389">
        <v>380</v>
      </c>
      <c r="FG31" s="390">
        <v>-4.0302267002518891E-3</v>
      </c>
      <c r="FH31" s="390">
        <v>-4.6272493573264782E-3</v>
      </c>
      <c r="FI31" s="390">
        <v>0</v>
      </c>
      <c r="FJ31" s="391">
        <v>-1</v>
      </c>
      <c r="FK31" s="391" t="s">
        <v>1386</v>
      </c>
      <c r="FL31" s="31" t="s">
        <v>1392</v>
      </c>
      <c r="FN31" s="128" t="s">
        <v>1448</v>
      </c>
      <c r="FO31" s="128" t="s">
        <v>1449</v>
      </c>
      <c r="FP31" s="128"/>
    </row>
    <row r="32" spans="1:179" ht="22" customHeight="1" x14ac:dyDescent="0.2">
      <c r="A32" s="13" t="s">
        <v>7</v>
      </c>
      <c r="B32" s="14" t="s">
        <v>34</v>
      </c>
      <c r="C32" s="9" t="s">
        <v>1020</v>
      </c>
      <c r="D32" s="14"/>
      <c r="E32" s="215" t="s">
        <v>49</v>
      </c>
      <c r="F32" s="15" t="s">
        <v>1355</v>
      </c>
      <c r="G32" s="15" t="s">
        <v>634</v>
      </c>
      <c r="H32" s="91">
        <f t="shared" si="57"/>
        <v>1</v>
      </c>
      <c r="I32" s="95">
        <f t="shared" si="1"/>
        <v>0</v>
      </c>
      <c r="J32" s="91"/>
      <c r="K32" s="256">
        <f t="shared" si="2"/>
        <v>1</v>
      </c>
      <c r="L32" s="257">
        <v>0</v>
      </c>
      <c r="M32" s="154"/>
      <c r="N32" s="155">
        <v>0</v>
      </c>
      <c r="O32" s="158" t="str">
        <f t="shared" si="3"/>
        <v>N/A or not found_x000D__x000D_</v>
      </c>
      <c r="P32" s="144" t="str">
        <f>CONCATENATE(V32,R32,X32)</f>
        <v>N/A or not found_x000D__x000D_</v>
      </c>
      <c r="Q32" s="360" t="s">
        <v>925</v>
      </c>
      <c r="R32" s="64" t="s">
        <v>918</v>
      </c>
      <c r="S32" s="432"/>
      <c r="T32" s="300" t="s">
        <v>925</v>
      </c>
      <c r="U32" s="301" t="s">
        <v>925</v>
      </c>
      <c r="V32" s="301" t="s">
        <v>925</v>
      </c>
      <c r="W32" s="258"/>
      <c r="X32" s="306" t="s">
        <v>834</v>
      </c>
      <c r="Y32" s="295"/>
      <c r="Z32" s="426">
        <v>1</v>
      </c>
      <c r="AA32" s="320">
        <f t="shared" si="4"/>
        <v>1</v>
      </c>
      <c r="AB32" s="320">
        <f t="shared" si="5"/>
        <v>0</v>
      </c>
      <c r="AC32" s="320">
        <f t="shared" si="6"/>
        <v>0</v>
      </c>
      <c r="AD32" s="320">
        <f t="shared" si="7"/>
        <v>0</v>
      </c>
      <c r="AE32" s="320">
        <f t="shared" si="8"/>
        <v>0</v>
      </c>
      <c r="AF32" s="320">
        <f t="shared" si="9"/>
        <v>0</v>
      </c>
      <c r="AG32" s="320">
        <f t="shared" si="10"/>
        <v>0</v>
      </c>
      <c r="AH32" s="427">
        <v>3</v>
      </c>
      <c r="AI32" s="320">
        <f t="shared" si="11"/>
        <v>0</v>
      </c>
      <c r="AJ32" s="320">
        <f t="shared" si="12"/>
        <v>0</v>
      </c>
      <c r="AK32" s="320">
        <f t="shared" si="13"/>
        <v>0</v>
      </c>
      <c r="AL32" s="320">
        <f t="shared" si="14"/>
        <v>0</v>
      </c>
      <c r="AM32" s="320">
        <f t="shared" si="15"/>
        <v>1</v>
      </c>
      <c r="AN32" s="320">
        <f t="shared" si="16"/>
        <v>0</v>
      </c>
      <c r="AO32" s="427" t="s">
        <v>235</v>
      </c>
      <c r="AP32" s="320">
        <f t="shared" si="17"/>
        <v>0</v>
      </c>
      <c r="AQ32" s="320">
        <f t="shared" si="18"/>
        <v>0</v>
      </c>
      <c r="AR32" s="320">
        <f t="shared" si="19"/>
        <v>0</v>
      </c>
      <c r="AS32" s="320">
        <f t="shared" si="20"/>
        <v>0</v>
      </c>
      <c r="AT32" s="320">
        <f t="shared" si="21"/>
        <v>1</v>
      </c>
      <c r="AU32" s="320">
        <f t="shared" si="22"/>
        <v>1</v>
      </c>
      <c r="AV32" s="427">
        <v>4</v>
      </c>
      <c r="AW32" s="320">
        <f t="shared" si="23"/>
        <v>0</v>
      </c>
      <c r="AX32" s="320">
        <f t="shared" si="24"/>
        <v>0</v>
      </c>
      <c r="AY32" s="320">
        <f t="shared" si="25"/>
        <v>0</v>
      </c>
      <c r="AZ32" s="320">
        <f t="shared" si="26"/>
        <v>1</v>
      </c>
      <c r="BA32" s="17">
        <v>0</v>
      </c>
      <c r="BB32" s="17" t="s">
        <v>834</v>
      </c>
      <c r="BC32" s="17">
        <v>0</v>
      </c>
      <c r="BD32" s="17">
        <v>0</v>
      </c>
      <c r="BE32" s="17">
        <v>0</v>
      </c>
      <c r="BF32" s="17">
        <v>0</v>
      </c>
      <c r="BG32" s="428">
        <f t="shared" si="52"/>
        <v>0</v>
      </c>
      <c r="BH32" s="17">
        <v>1</v>
      </c>
      <c r="BI32" s="17">
        <v>0</v>
      </c>
      <c r="BJ32" s="17" t="s">
        <v>834</v>
      </c>
      <c r="BK32" s="17">
        <v>0</v>
      </c>
      <c r="BL32" s="17">
        <v>1</v>
      </c>
      <c r="BM32" s="17" t="s">
        <v>1249</v>
      </c>
      <c r="BN32" s="320">
        <f t="shared" si="27"/>
        <v>1</v>
      </c>
      <c r="BO32" s="320">
        <f t="shared" si="28"/>
        <v>0</v>
      </c>
      <c r="BP32" s="427">
        <v>0</v>
      </c>
      <c r="BQ32" s="427" t="s">
        <v>1257</v>
      </c>
      <c r="BR32" s="320">
        <f t="shared" si="56"/>
        <v>0</v>
      </c>
      <c r="BS32" s="320">
        <f>IF(ISNUMBER(SEARCH("1",$BP32)),1,0)</f>
        <v>0</v>
      </c>
      <c r="BT32" s="427">
        <v>0</v>
      </c>
      <c r="BU32" s="320">
        <f t="shared" si="30"/>
        <v>0</v>
      </c>
      <c r="BV32" s="320">
        <f t="shared" si="31"/>
        <v>0</v>
      </c>
      <c r="BW32" s="320">
        <f t="shared" si="32"/>
        <v>0</v>
      </c>
      <c r="BX32" s="427" t="s">
        <v>320</v>
      </c>
      <c r="BY32" s="320">
        <f t="shared" si="33"/>
        <v>1</v>
      </c>
      <c r="BZ32" s="320">
        <f t="shared" si="34"/>
        <v>1</v>
      </c>
      <c r="CA32" s="320">
        <f t="shared" si="35"/>
        <v>0</v>
      </c>
      <c r="CB32" s="320">
        <f t="shared" si="36"/>
        <v>1</v>
      </c>
      <c r="CC32" s="427">
        <v>1</v>
      </c>
      <c r="CD32" s="320">
        <f t="shared" si="37"/>
        <v>1</v>
      </c>
      <c r="CE32" s="320">
        <f t="shared" si="38"/>
        <v>0</v>
      </c>
      <c r="CF32" s="320">
        <f t="shared" si="39"/>
        <v>0</v>
      </c>
      <c r="CG32" s="320">
        <f t="shared" si="40"/>
        <v>0</v>
      </c>
      <c r="CH32" s="427">
        <v>0</v>
      </c>
      <c r="CI32" s="427">
        <v>0</v>
      </c>
      <c r="CJ32" s="427">
        <v>0</v>
      </c>
      <c r="CK32" s="427">
        <v>0</v>
      </c>
      <c r="CL32" s="320">
        <f t="shared" si="53"/>
        <v>0</v>
      </c>
      <c r="CM32" s="320">
        <f t="shared" si="41"/>
        <v>0</v>
      </c>
      <c r="CN32" s="320">
        <f t="shared" si="42"/>
        <v>0</v>
      </c>
      <c r="CO32" s="320">
        <f t="shared" si="43"/>
        <v>0</v>
      </c>
      <c r="CP32" s="427">
        <v>1</v>
      </c>
      <c r="CQ32" s="427" t="s">
        <v>76</v>
      </c>
      <c r="CR32" s="320">
        <f t="shared" si="44"/>
        <v>1</v>
      </c>
      <c r="CS32" s="320">
        <f t="shared" si="45"/>
        <v>0</v>
      </c>
      <c r="CT32" s="320">
        <f t="shared" si="58"/>
        <v>1</v>
      </c>
      <c r="CU32" s="320">
        <f t="shared" si="59"/>
        <v>0</v>
      </c>
      <c r="CV32" s="427">
        <v>1</v>
      </c>
      <c r="CW32" s="17" t="s">
        <v>830</v>
      </c>
      <c r="CX32" s="320">
        <f t="shared" si="47"/>
        <v>0</v>
      </c>
      <c r="CY32" s="320">
        <f t="shared" si="48"/>
        <v>0</v>
      </c>
      <c r="CZ32" s="320">
        <f t="shared" si="49"/>
        <v>1</v>
      </c>
      <c r="DA32" s="17">
        <v>0</v>
      </c>
      <c r="DB32" s="17">
        <v>0</v>
      </c>
      <c r="DC32" s="17">
        <v>0</v>
      </c>
      <c r="DD32" s="31"/>
      <c r="DE32" s="346" t="s">
        <v>388</v>
      </c>
      <c r="DF32" s="346" t="s">
        <v>388</v>
      </c>
      <c r="DG32" s="346" t="s">
        <v>388</v>
      </c>
      <c r="DH32" s="346" t="s">
        <v>388</v>
      </c>
      <c r="DI32" s="346" t="s">
        <v>388</v>
      </c>
      <c r="DJ32" s="346" t="s">
        <v>388</v>
      </c>
      <c r="DK32" s="354" t="s">
        <v>1110</v>
      </c>
      <c r="DL32" s="346" t="s">
        <v>388</v>
      </c>
      <c r="DM32" s="346" t="s">
        <v>388</v>
      </c>
      <c r="DN32" s="346" t="s">
        <v>388</v>
      </c>
      <c r="DO32" s="346" t="s">
        <v>388</v>
      </c>
      <c r="DP32" s="348">
        <v>1</v>
      </c>
      <c r="DQ32" s="354"/>
      <c r="DR32" s="239">
        <f>SUM(DS32:DX32)/6</f>
        <v>0.18669484702093397</v>
      </c>
      <c r="DS32" s="429">
        <f t="shared" si="50"/>
        <v>0.21739130434782608</v>
      </c>
      <c r="DT32" s="429">
        <f>SUM(BA32:BE32,BG32)/5</f>
        <v>0</v>
      </c>
      <c r="DU32" s="429">
        <f>SUM(BI32,BO32,BS32,BU32:BW32)/6</f>
        <v>0</v>
      </c>
      <c r="DV32" s="429">
        <f>SUM(BY32-CB32,CD32-CG32)/8</f>
        <v>0.125</v>
      </c>
      <c r="DW32" s="429">
        <f>SUM(CH32:CJ32,CL32:CO32,BN32,BR32)/9</f>
        <v>0.1111111111111111</v>
      </c>
      <c r="DX32" s="429">
        <f>SUM(CP32,CR32:CV32)/6</f>
        <v>0.66666666666666663</v>
      </c>
      <c r="DY32" s="169"/>
      <c r="DZ32" s="135"/>
      <c r="EA32" s="135"/>
      <c r="EB32" s="135"/>
      <c r="EC32" s="135"/>
      <c r="ED32" s="124"/>
      <c r="EG32" s="81"/>
      <c r="EH32" s="44"/>
      <c r="EI32" s="45"/>
      <c r="EJ32" s="33" t="b">
        <f t="shared" si="51"/>
        <v>0</v>
      </c>
      <c r="EK32" s="42"/>
      <c r="EL32" s="42"/>
      <c r="EM32" s="42"/>
      <c r="EN32" s="439"/>
      <c r="EO32" s="439"/>
      <c r="EP32" s="439"/>
      <c r="EQ32" s="38"/>
      <c r="ER32" s="440">
        <v>0</v>
      </c>
      <c r="ES32" s="431"/>
      <c r="ET32" s="431">
        <v>0</v>
      </c>
      <c r="EU32" s="431"/>
      <c r="EV32" s="447"/>
      <c r="EZ32" s="393" t="s">
        <v>49</v>
      </c>
      <c r="FA32" s="393" t="s">
        <v>49</v>
      </c>
      <c r="FB32" s="389">
        <v>3327</v>
      </c>
      <c r="FC32" s="389">
        <v>3375</v>
      </c>
      <c r="FD32" s="389">
        <v>3651</v>
      </c>
      <c r="FE32" s="389">
        <v>3737</v>
      </c>
      <c r="FF32" s="389">
        <v>3823</v>
      </c>
      <c r="FG32" s="390">
        <v>1.6355555555555557E-2</v>
      </c>
      <c r="FH32" s="390">
        <v>4.711038071761162E-3</v>
      </c>
      <c r="FI32" s="390">
        <v>4.6026224244046024E-3</v>
      </c>
      <c r="FJ32" s="391" t="s">
        <v>1389</v>
      </c>
      <c r="FK32" s="391">
        <v>-2.3013112122023196E-2</v>
      </c>
      <c r="FL32" s="31" t="s">
        <v>1394</v>
      </c>
      <c r="FN32" s="215" t="s">
        <v>1450</v>
      </c>
      <c r="FO32" s="215" t="s">
        <v>1451</v>
      </c>
      <c r="FP32" s="215" t="s">
        <v>1346</v>
      </c>
      <c r="FR32" s="402">
        <v>1</v>
      </c>
      <c r="FS32" s="402">
        <v>0</v>
      </c>
      <c r="FT32" s="402">
        <v>1</v>
      </c>
      <c r="FU32" s="402">
        <v>1</v>
      </c>
    </row>
    <row r="33" spans="1:172" ht="22" hidden="1" customHeight="1" x14ac:dyDescent="0.2">
      <c r="A33" s="13" t="s">
        <v>10</v>
      </c>
      <c r="B33" s="14" t="s">
        <v>39</v>
      </c>
      <c r="C33" s="14"/>
      <c r="D33" s="14" t="s">
        <v>1068</v>
      </c>
      <c r="E33" s="128" t="s">
        <v>50</v>
      </c>
      <c r="F33" s="15" t="s">
        <v>639</v>
      </c>
      <c r="G33" s="15" t="s">
        <v>635</v>
      </c>
      <c r="H33" s="95">
        <v>0</v>
      </c>
      <c r="I33" s="95">
        <f t="shared" si="1"/>
        <v>2</v>
      </c>
      <c r="J33" s="95"/>
      <c r="K33" s="256">
        <f t="shared" si="2"/>
        <v>2</v>
      </c>
      <c r="L33" s="278" t="s">
        <v>678</v>
      </c>
      <c r="M33" s="25">
        <v>1</v>
      </c>
      <c r="N33" s="89"/>
      <c r="O33" s="144" t="str">
        <f t="shared" si="3"/>
        <v>Restoration of degraded land at the rate of 30,000 ha/yr, increase of natural forests from 170,00 to 500,000 ha, reduction of forest areas burned by wildfires from 30% of the national territory to 20%_x000D__x000D_AFOLU emissions reduction as compared to Business as Usual._x000D_Unconditional:_x000D_2020 - 4,809 Gg CO2e (6%); 2025 - 6,209 Gg CO2e (6%); 2030 - 7,236 Gg (7%)_x000D_Conditional:_x000D_2020 - 10,560 (12%); 2025 - 10,560 Gg CO2e (11%); 2030 - 10,560 Gg CO2e (10%)</v>
      </c>
      <c r="P33" s="144" t="str">
        <f>CONCATENATE(V33,R33,X33)</f>
        <v>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resources._x000D__x000D_Implementation of good forestry and agroforestry practices (selective cutting of firewood, assisted natural regeneration, controlled land clearing, etc.)_x000D_Protection of water courses and water sources_x000D_Practice of agroforestry for sustained management of natural resources_x000D_2000 ha (200 km) of stream banks are rehabilitated and access-protected each year_x000D_Establishment and classification of 900,000 ha of regionally focused biodiversity conservation areas in 12 regions or 180 communes</v>
      </c>
      <c r="Q33" s="55" t="s">
        <v>920</v>
      </c>
      <c r="R33" s="64" t="s">
        <v>918</v>
      </c>
      <c r="S33" s="425" t="s">
        <v>919</v>
      </c>
      <c r="T33" s="300" t="s">
        <v>981</v>
      </c>
      <c r="U33" s="301" t="s">
        <v>925</v>
      </c>
      <c r="V33" s="301" t="s">
        <v>982</v>
      </c>
      <c r="W33" s="258">
        <v>1</v>
      </c>
      <c r="X33" s="308" t="s">
        <v>990</v>
      </c>
      <c r="Y33" s="297"/>
      <c r="Z33" s="426">
        <v>1</v>
      </c>
      <c r="AA33" s="320">
        <f t="shared" si="4"/>
        <v>1</v>
      </c>
      <c r="AB33" s="320">
        <f t="shared" si="5"/>
        <v>0</v>
      </c>
      <c r="AC33" s="320">
        <f t="shared" si="6"/>
        <v>0</v>
      </c>
      <c r="AD33" s="320">
        <f t="shared" si="7"/>
        <v>0</v>
      </c>
      <c r="AE33" s="320">
        <f t="shared" si="8"/>
        <v>0</v>
      </c>
      <c r="AF33" s="320">
        <f t="shared" si="9"/>
        <v>0</v>
      </c>
      <c r="AG33" s="320">
        <f t="shared" si="10"/>
        <v>0</v>
      </c>
      <c r="AH33" s="427" t="s">
        <v>812</v>
      </c>
      <c r="AI33" s="320">
        <f t="shared" si="11"/>
        <v>1</v>
      </c>
      <c r="AJ33" s="320">
        <f t="shared" si="12"/>
        <v>0</v>
      </c>
      <c r="AK33" s="320">
        <f t="shared" si="13"/>
        <v>0</v>
      </c>
      <c r="AL33" s="320">
        <f t="shared" si="14"/>
        <v>0</v>
      </c>
      <c r="AM33" s="320">
        <f t="shared" si="15"/>
        <v>1</v>
      </c>
      <c r="AN33" s="320">
        <f t="shared" si="16"/>
        <v>1</v>
      </c>
      <c r="AO33" s="427" t="s">
        <v>221</v>
      </c>
      <c r="AP33" s="320">
        <f t="shared" si="17"/>
        <v>1</v>
      </c>
      <c r="AQ33" s="320">
        <f t="shared" si="18"/>
        <v>1</v>
      </c>
      <c r="AR33" s="320">
        <f t="shared" si="19"/>
        <v>0</v>
      </c>
      <c r="AS33" s="320">
        <f t="shared" si="20"/>
        <v>0</v>
      </c>
      <c r="AT33" s="320">
        <f t="shared" si="21"/>
        <v>0</v>
      </c>
      <c r="AU33" s="320">
        <f t="shared" si="22"/>
        <v>0</v>
      </c>
      <c r="AV33" s="427" t="s">
        <v>315</v>
      </c>
      <c r="AW33" s="320">
        <f t="shared" si="23"/>
        <v>1</v>
      </c>
      <c r="AX33" s="320">
        <f t="shared" si="24"/>
        <v>0</v>
      </c>
      <c r="AY33" s="320">
        <f t="shared" si="25"/>
        <v>1</v>
      </c>
      <c r="AZ33" s="320">
        <f t="shared" si="26"/>
        <v>0</v>
      </c>
      <c r="BA33" s="17">
        <v>0</v>
      </c>
      <c r="BB33" s="17" t="s">
        <v>1265</v>
      </c>
      <c r="BC33" s="17">
        <v>0</v>
      </c>
      <c r="BD33" s="17">
        <v>0</v>
      </c>
      <c r="BE33" s="17">
        <v>0</v>
      </c>
      <c r="BF33" s="17">
        <v>0</v>
      </c>
      <c r="BG33" s="428">
        <f t="shared" si="52"/>
        <v>0</v>
      </c>
      <c r="BH33" s="17">
        <v>0</v>
      </c>
      <c r="BI33" s="17">
        <v>0</v>
      </c>
      <c r="BJ33" s="17" t="s">
        <v>834</v>
      </c>
      <c r="BK33" s="17"/>
      <c r="BL33" s="17">
        <v>1</v>
      </c>
      <c r="BM33" s="17" t="s">
        <v>1175</v>
      </c>
      <c r="BN33" s="320">
        <f t="shared" si="27"/>
        <v>1</v>
      </c>
      <c r="BO33" s="320">
        <f t="shared" si="28"/>
        <v>0</v>
      </c>
      <c r="BP33" s="427">
        <v>1</v>
      </c>
      <c r="BQ33" s="427" t="s">
        <v>1176</v>
      </c>
      <c r="BR33" s="320">
        <f t="shared" si="56"/>
        <v>1</v>
      </c>
      <c r="BS33" s="320">
        <v>0</v>
      </c>
      <c r="BT33" s="427">
        <v>1</v>
      </c>
      <c r="BU33" s="320">
        <f t="shared" si="30"/>
        <v>1</v>
      </c>
      <c r="BV33" s="320">
        <f t="shared" si="31"/>
        <v>0</v>
      </c>
      <c r="BW33" s="320">
        <f t="shared" si="32"/>
        <v>0</v>
      </c>
      <c r="BX33" s="427" t="s">
        <v>813</v>
      </c>
      <c r="BY33" s="320">
        <f t="shared" si="33"/>
        <v>1</v>
      </c>
      <c r="BZ33" s="320">
        <f t="shared" si="34"/>
        <v>0</v>
      </c>
      <c r="CA33" s="320">
        <f t="shared" si="35"/>
        <v>1</v>
      </c>
      <c r="CB33" s="320">
        <f t="shared" si="36"/>
        <v>1</v>
      </c>
      <c r="CC33" s="427">
        <v>0</v>
      </c>
      <c r="CD33" s="320">
        <f t="shared" si="37"/>
        <v>0</v>
      </c>
      <c r="CE33" s="320">
        <f t="shared" si="38"/>
        <v>0</v>
      </c>
      <c r="CF33" s="320">
        <f t="shared" si="39"/>
        <v>0</v>
      </c>
      <c r="CG33" s="320">
        <f t="shared" si="40"/>
        <v>0</v>
      </c>
      <c r="CH33" s="427">
        <v>1</v>
      </c>
      <c r="CI33" s="427">
        <v>0</v>
      </c>
      <c r="CJ33" s="427">
        <v>0</v>
      </c>
      <c r="CK33" s="427">
        <v>0</v>
      </c>
      <c r="CL33" s="320">
        <f t="shared" si="53"/>
        <v>0</v>
      </c>
      <c r="CM33" s="320">
        <f t="shared" si="41"/>
        <v>0</v>
      </c>
      <c r="CN33" s="320">
        <f t="shared" si="42"/>
        <v>0</v>
      </c>
      <c r="CO33" s="320">
        <f t="shared" si="43"/>
        <v>0</v>
      </c>
      <c r="CP33" s="427">
        <v>1</v>
      </c>
      <c r="CQ33" s="427" t="s">
        <v>76</v>
      </c>
      <c r="CR33" s="320">
        <f t="shared" si="44"/>
        <v>1</v>
      </c>
      <c r="CS33" s="320">
        <f t="shared" si="45"/>
        <v>0</v>
      </c>
      <c r="CT33" s="320">
        <f t="shared" si="58"/>
        <v>1</v>
      </c>
      <c r="CU33" s="320">
        <f t="shared" si="59"/>
        <v>0</v>
      </c>
      <c r="CV33" s="427">
        <v>0</v>
      </c>
      <c r="CW33" s="17">
        <v>0</v>
      </c>
      <c r="CX33" s="320">
        <f t="shared" si="47"/>
        <v>0</v>
      </c>
      <c r="CY33" s="320">
        <f t="shared" si="48"/>
        <v>0</v>
      </c>
      <c r="CZ33" s="320">
        <f t="shared" si="49"/>
        <v>0</v>
      </c>
      <c r="DA33" s="17"/>
      <c r="DB33" s="17"/>
      <c r="DC33" s="17"/>
      <c r="DD33" s="31"/>
      <c r="DE33" s="323" t="s">
        <v>392</v>
      </c>
      <c r="DF33" s="323" t="s">
        <v>392</v>
      </c>
      <c r="DG33" s="323" t="s">
        <v>392</v>
      </c>
      <c r="DH33" s="323" t="s">
        <v>387</v>
      </c>
      <c r="DI33" s="323"/>
      <c r="DJ33" s="323" t="s">
        <v>387</v>
      </c>
      <c r="DK33" s="323">
        <v>1</v>
      </c>
      <c r="DL33" s="323">
        <v>1</v>
      </c>
      <c r="DM33" s="323">
        <v>1</v>
      </c>
      <c r="DN33" s="328" t="s">
        <v>822</v>
      </c>
      <c r="DO33" s="329">
        <v>1</v>
      </c>
      <c r="DP33" s="324">
        <v>1</v>
      </c>
      <c r="DQ33" s="383"/>
      <c r="DR33" s="239">
        <f>SUM(DS33:DX33)/6</f>
        <v>0.22463768115942029</v>
      </c>
      <c r="DS33" s="429">
        <f t="shared" si="50"/>
        <v>0.34782608695652173</v>
      </c>
      <c r="DT33" s="448">
        <f>SUM(BA33:BE33,BG33)/5</f>
        <v>0</v>
      </c>
      <c r="DU33" s="429">
        <f>SUM(BI33,BO33,BS33,BU33:BW33)/6</f>
        <v>0.16666666666666666</v>
      </c>
      <c r="DV33" s="429">
        <f>SUM(BY33-CB33,CD33-CG33)/8</f>
        <v>0</v>
      </c>
      <c r="DW33" s="429">
        <f>SUM(CH33:CJ33,CL33:CO33,BN33,BR33)/9</f>
        <v>0.33333333333333331</v>
      </c>
      <c r="DX33" s="429">
        <f>SUM(CP33,CR33:CV33)/6</f>
        <v>0.5</v>
      </c>
      <c r="DY33" s="133"/>
      <c r="DZ33" s="134"/>
      <c r="EA33" s="134"/>
      <c r="EB33" s="134"/>
      <c r="EC33" s="134"/>
      <c r="ED33" s="123"/>
      <c r="EG33" s="81"/>
      <c r="EH33" s="46">
        <v>0</v>
      </c>
      <c r="EI33" s="45"/>
      <c r="EJ33" s="33" t="e">
        <f t="shared" si="51"/>
        <v>#VALUE!</v>
      </c>
      <c r="EK33" s="42"/>
      <c r="EL33" s="42"/>
      <c r="EM33" s="42"/>
      <c r="EN33" s="439"/>
      <c r="EO33" s="439"/>
      <c r="EP33" s="439"/>
      <c r="EQ33" s="47"/>
      <c r="ER33" s="440">
        <v>0</v>
      </c>
      <c r="ES33" s="431"/>
      <c r="ET33" s="431">
        <v>0</v>
      </c>
      <c r="EU33" s="431"/>
      <c r="EV33" s="447"/>
      <c r="EZ33" s="393" t="s">
        <v>50</v>
      </c>
      <c r="FA33" s="393" t="s">
        <v>50</v>
      </c>
      <c r="FB33" s="389">
        <v>6847</v>
      </c>
      <c r="FC33" s="389">
        <v>6248</v>
      </c>
      <c r="FD33" s="389">
        <v>5949</v>
      </c>
      <c r="FE33" s="389">
        <v>5649</v>
      </c>
      <c r="FF33" s="389">
        <v>5350</v>
      </c>
      <c r="FG33" s="390">
        <v>-9.5710627400768244E-3</v>
      </c>
      <c r="FH33" s="390">
        <v>-1.0085728693898134E-2</v>
      </c>
      <c r="FI33" s="390">
        <v>-1.0585944414940696E-2</v>
      </c>
      <c r="FJ33" s="391">
        <v>4.9596388741370075E-2</v>
      </c>
      <c r="FK33" s="391" t="s">
        <v>1386</v>
      </c>
      <c r="FL33" s="31" t="s">
        <v>1379</v>
      </c>
      <c r="FN33" s="128" t="s">
        <v>1452</v>
      </c>
      <c r="FO33" s="128" t="s">
        <v>1453</v>
      </c>
      <c r="FP33" s="128"/>
    </row>
    <row r="34" spans="1:172" ht="22" hidden="1" customHeight="1" x14ac:dyDescent="0.2">
      <c r="A34" s="13" t="s">
        <v>10</v>
      </c>
      <c r="B34" s="14" t="s">
        <v>51</v>
      </c>
      <c r="C34" s="14"/>
      <c r="D34" s="14"/>
      <c r="E34" s="129" t="s">
        <v>52</v>
      </c>
      <c r="F34" s="15"/>
      <c r="G34" s="15" t="s">
        <v>635</v>
      </c>
      <c r="H34" s="95">
        <f>IF(G34="YES",0,1)</f>
        <v>0</v>
      </c>
      <c r="I34" s="95">
        <f t="shared" si="1"/>
        <v>2</v>
      </c>
      <c r="J34" s="95"/>
      <c r="K34" s="256">
        <f t="shared" si="2"/>
        <v>2</v>
      </c>
      <c r="L34" s="278" t="s">
        <v>640</v>
      </c>
      <c r="M34" s="25"/>
      <c r="N34" s="26">
        <v>2000000</v>
      </c>
      <c r="O34" s="144" t="str">
        <f t="shared" si="3"/>
        <v>_x000D__x000D_</v>
      </c>
      <c r="P34" s="144"/>
      <c r="Q34" s="55"/>
      <c r="R34" s="64" t="s">
        <v>918</v>
      </c>
      <c r="S34" s="425"/>
      <c r="T34" s="300" t="s">
        <v>839</v>
      </c>
      <c r="U34" s="301" t="s">
        <v>898</v>
      </c>
      <c r="V34" s="309" t="s">
        <v>834</v>
      </c>
      <c r="W34" s="258"/>
      <c r="X34" s="307" t="s">
        <v>834</v>
      </c>
      <c r="Y34" s="274"/>
      <c r="Z34" s="426"/>
      <c r="AA34" s="320">
        <f t="shared" si="4"/>
        <v>0</v>
      </c>
      <c r="AB34" s="320">
        <f t="shared" si="5"/>
        <v>0</v>
      </c>
      <c r="AC34" s="320">
        <f t="shared" si="6"/>
        <v>0</v>
      </c>
      <c r="AD34" s="320">
        <f t="shared" si="7"/>
        <v>0</v>
      </c>
      <c r="AE34" s="320">
        <f t="shared" si="8"/>
        <v>0</v>
      </c>
      <c r="AF34" s="320">
        <f t="shared" si="9"/>
        <v>0</v>
      </c>
      <c r="AG34" s="320">
        <f t="shared" si="10"/>
        <v>0</v>
      </c>
      <c r="AH34" s="427"/>
      <c r="AI34" s="320">
        <f t="shared" si="11"/>
        <v>0</v>
      </c>
      <c r="AJ34" s="320">
        <f t="shared" si="12"/>
        <v>0</v>
      </c>
      <c r="AK34" s="320">
        <f t="shared" si="13"/>
        <v>0</v>
      </c>
      <c r="AL34" s="320">
        <f t="shared" si="14"/>
        <v>0</v>
      </c>
      <c r="AM34" s="320">
        <f t="shared" si="15"/>
        <v>0</v>
      </c>
      <c r="AN34" s="320">
        <f t="shared" si="16"/>
        <v>0</v>
      </c>
      <c r="AO34" s="427"/>
      <c r="AP34" s="320">
        <f t="shared" si="17"/>
        <v>0</v>
      </c>
      <c r="AQ34" s="320">
        <f t="shared" si="18"/>
        <v>0</v>
      </c>
      <c r="AR34" s="320">
        <f t="shared" si="19"/>
        <v>0</v>
      </c>
      <c r="AS34" s="320">
        <f t="shared" si="20"/>
        <v>0</v>
      </c>
      <c r="AT34" s="320">
        <f t="shared" si="21"/>
        <v>0</v>
      </c>
      <c r="AU34" s="320">
        <f t="shared" si="22"/>
        <v>0</v>
      </c>
      <c r="AV34" s="427"/>
      <c r="AW34" s="320">
        <f t="shared" si="23"/>
        <v>0</v>
      </c>
      <c r="AX34" s="320">
        <f t="shared" si="24"/>
        <v>0</v>
      </c>
      <c r="AY34" s="320">
        <f t="shared" si="25"/>
        <v>0</v>
      </c>
      <c r="AZ34" s="320">
        <f t="shared" si="26"/>
        <v>0</v>
      </c>
      <c r="BA34" s="17">
        <v>0</v>
      </c>
      <c r="BB34" s="17" t="s">
        <v>839</v>
      </c>
      <c r="BC34" s="17">
        <v>0</v>
      </c>
      <c r="BD34" s="17">
        <v>2015</v>
      </c>
      <c r="BE34" s="17">
        <v>0</v>
      </c>
      <c r="BF34" s="17">
        <v>0</v>
      </c>
      <c r="BG34" s="428">
        <f t="shared" si="52"/>
        <v>0</v>
      </c>
      <c r="BH34" s="17"/>
      <c r="BI34" s="17" t="s">
        <v>646</v>
      </c>
      <c r="BJ34" s="17"/>
      <c r="BK34" s="17"/>
      <c r="BL34" s="17"/>
      <c r="BM34" s="17"/>
      <c r="BN34" s="320">
        <f t="shared" si="27"/>
        <v>0</v>
      </c>
      <c r="BO34" s="320">
        <f t="shared" si="28"/>
        <v>0</v>
      </c>
      <c r="BP34" s="427"/>
      <c r="BQ34" s="427"/>
      <c r="BR34" s="320">
        <f t="shared" si="56"/>
        <v>0</v>
      </c>
      <c r="BS34" s="320">
        <f>IF(ISNUMBER(SEARCH("1",$BP34)),1,0)</f>
        <v>0</v>
      </c>
      <c r="BT34" s="427"/>
      <c r="BU34" s="320">
        <f t="shared" si="30"/>
        <v>0</v>
      </c>
      <c r="BV34" s="320">
        <f t="shared" si="31"/>
        <v>0</v>
      </c>
      <c r="BW34" s="320">
        <f t="shared" si="32"/>
        <v>0</v>
      </c>
      <c r="BX34" s="427"/>
      <c r="BY34" s="320">
        <f t="shared" si="33"/>
        <v>0</v>
      </c>
      <c r="BZ34" s="320">
        <f t="shared" si="34"/>
        <v>0</v>
      </c>
      <c r="CA34" s="320">
        <f t="shared" si="35"/>
        <v>0</v>
      </c>
      <c r="CB34" s="320">
        <f t="shared" si="36"/>
        <v>0</v>
      </c>
      <c r="CC34" s="427"/>
      <c r="CD34" s="320">
        <f t="shared" si="37"/>
        <v>0</v>
      </c>
      <c r="CE34" s="320">
        <f t="shared" si="38"/>
        <v>0</v>
      </c>
      <c r="CF34" s="320">
        <f t="shared" si="39"/>
        <v>0</v>
      </c>
      <c r="CG34" s="320">
        <f t="shared" si="40"/>
        <v>0</v>
      </c>
      <c r="CH34" s="427"/>
      <c r="CI34" s="427"/>
      <c r="CJ34" s="427"/>
      <c r="CK34" s="427"/>
      <c r="CL34" s="320">
        <f t="shared" si="53"/>
        <v>0</v>
      </c>
      <c r="CM34" s="320">
        <f t="shared" si="41"/>
        <v>0</v>
      </c>
      <c r="CN34" s="320">
        <f t="shared" si="42"/>
        <v>0</v>
      </c>
      <c r="CO34" s="320">
        <f t="shared" si="43"/>
        <v>0</v>
      </c>
      <c r="CP34" s="427"/>
      <c r="CQ34" s="427"/>
      <c r="CR34" s="320">
        <f t="shared" si="44"/>
        <v>0</v>
      </c>
      <c r="CS34" s="320">
        <f t="shared" si="45"/>
        <v>0</v>
      </c>
      <c r="CT34" s="320">
        <f t="shared" si="58"/>
        <v>0</v>
      </c>
      <c r="CU34" s="320">
        <f t="shared" si="59"/>
        <v>0</v>
      </c>
      <c r="CV34" s="427"/>
      <c r="CW34" s="17"/>
      <c r="CX34" s="320">
        <f t="shared" si="47"/>
        <v>0</v>
      </c>
      <c r="CY34" s="320">
        <f t="shared" si="48"/>
        <v>0</v>
      </c>
      <c r="CZ34" s="320">
        <f t="shared" si="49"/>
        <v>0</v>
      </c>
      <c r="DA34" s="17"/>
      <c r="DB34" s="17"/>
      <c r="DC34" s="17"/>
      <c r="DD34" s="31"/>
      <c r="DE34" s="330"/>
      <c r="DF34" s="330"/>
      <c r="DG34" s="330"/>
      <c r="DH34" s="330"/>
      <c r="DI34" s="321"/>
      <c r="DJ34" s="330"/>
      <c r="DK34" s="330"/>
      <c r="DL34" s="330"/>
      <c r="DM34" s="330"/>
      <c r="DN34" s="330"/>
      <c r="DO34" s="330"/>
      <c r="DP34" s="322"/>
      <c r="DQ34" s="385"/>
      <c r="DR34" s="243"/>
      <c r="DS34" s="429">
        <f t="shared" si="50"/>
        <v>0</v>
      </c>
      <c r="DT34" s="438"/>
      <c r="DU34" s="59"/>
      <c r="DV34" s="59"/>
      <c r="DW34" s="59"/>
      <c r="DX34" s="59"/>
      <c r="DY34" s="133"/>
      <c r="DZ34" s="134"/>
      <c r="EA34" s="134"/>
      <c r="EB34" s="134"/>
      <c r="EC34" s="134"/>
      <c r="ED34" s="123"/>
      <c r="EG34" s="81"/>
      <c r="EH34" s="46"/>
      <c r="EI34" s="45"/>
      <c r="EJ34" s="33" t="e">
        <f t="shared" si="51"/>
        <v>#VALUE!</v>
      </c>
      <c r="EK34" s="42"/>
      <c r="EL34" s="42"/>
      <c r="EM34" s="42"/>
      <c r="EN34" s="439"/>
      <c r="EO34" s="439"/>
      <c r="EP34" s="439"/>
      <c r="EQ34" s="47"/>
      <c r="ER34" s="440">
        <v>0</v>
      </c>
      <c r="ES34" s="431"/>
      <c r="ET34" s="431">
        <v>0</v>
      </c>
      <c r="EU34" s="431"/>
      <c r="EV34" s="447"/>
      <c r="EZ34" s="393" t="s">
        <v>52</v>
      </c>
      <c r="FA34" s="393" t="s">
        <v>52</v>
      </c>
      <c r="FB34" s="389">
        <v>289</v>
      </c>
      <c r="FC34" s="389">
        <v>198</v>
      </c>
      <c r="FD34" s="389">
        <v>181</v>
      </c>
      <c r="FE34" s="389">
        <v>253</v>
      </c>
      <c r="FF34" s="389">
        <v>276</v>
      </c>
      <c r="FG34" s="390">
        <v>-1.7171717171717171E-2</v>
      </c>
      <c r="FH34" s="390">
        <v>7.9558011049723751E-2</v>
      </c>
      <c r="FI34" s="390">
        <v>1.8181818181818181E-2</v>
      </c>
      <c r="FJ34" s="391" t="s">
        <v>1389</v>
      </c>
      <c r="FK34" s="391">
        <v>-0.77146464646464641</v>
      </c>
      <c r="FL34" s="31" t="s">
        <v>1394</v>
      </c>
      <c r="FN34" s="129" t="s">
        <v>1454</v>
      </c>
      <c r="FO34" s="129" t="s">
        <v>1455</v>
      </c>
      <c r="FP34" s="129"/>
    </row>
    <row r="35" spans="1:172" ht="22" hidden="1" customHeight="1" x14ac:dyDescent="0.2">
      <c r="A35" s="13" t="s">
        <v>10</v>
      </c>
      <c r="B35" s="14" t="s">
        <v>39</v>
      </c>
      <c r="C35" s="14"/>
      <c r="D35" s="14" t="s">
        <v>1068</v>
      </c>
      <c r="E35" s="128" t="s">
        <v>53</v>
      </c>
      <c r="F35" s="15" t="s">
        <v>639</v>
      </c>
      <c r="G35" s="15" t="s">
        <v>634</v>
      </c>
      <c r="H35" s="91">
        <v>1</v>
      </c>
      <c r="I35" s="95">
        <f t="shared" si="1"/>
        <v>0</v>
      </c>
      <c r="J35" s="91"/>
      <c r="K35" s="256">
        <f t="shared" si="2"/>
        <v>1</v>
      </c>
      <c r="L35" s="101">
        <v>0</v>
      </c>
      <c r="M35" s="99"/>
      <c r="N35" s="89"/>
      <c r="O35" s="98" t="str">
        <f t="shared" si="3"/>
        <v>Cabo Verde makes an unconditional long-term commitment to engage in reforestation_x000D_new afforestation/reforestation (“A/R”) campaigns in the order of 10,000 hectares until 2030 by 2030;_x000D_With international support, Cabo Verde seeks an A/R campaign area of around 20,000 hectares until 2030;_x000D_Cabo Verde estimates a planting effort of 400 trees per hectare. If 20,000 hectares are successfully planted, this will generate a long-term sequestration gain of 360 tCO2eq per hectare sequestered after 30 years, corresponding to 7.2 mtCO2eq for 20,000 hectares after 30 years._x000D__x000D_</v>
      </c>
      <c r="P35" s="144" t="str">
        <f>CONCATENATE(V35,R35,X35)</f>
        <v xml:space="preserve">Cabo Verde also aims at eliminating three stone cooking stove (35% of households still use three-stone stove) through improved low-emissions cookstoves by 2025 at the latest, and thereby substantially removing demand for firewood._x000D__x000D_ </v>
      </c>
      <c r="Q35" s="223" t="s">
        <v>1070</v>
      </c>
      <c r="R35" s="64" t="s">
        <v>918</v>
      </c>
      <c r="S35" s="425"/>
      <c r="T35" s="300" t="s">
        <v>925</v>
      </c>
      <c r="U35" s="300" t="s">
        <v>925</v>
      </c>
      <c r="V35" s="301" t="s">
        <v>1069</v>
      </c>
      <c r="W35" s="258">
        <v>0</v>
      </c>
      <c r="X35" s="307" t="s">
        <v>924</v>
      </c>
      <c r="Y35" s="274"/>
      <c r="Z35" s="426">
        <v>1</v>
      </c>
      <c r="AA35" s="320">
        <f t="shared" si="4"/>
        <v>1</v>
      </c>
      <c r="AB35" s="320">
        <f t="shared" si="5"/>
        <v>0</v>
      </c>
      <c r="AC35" s="320">
        <f t="shared" si="6"/>
        <v>0</v>
      </c>
      <c r="AD35" s="320">
        <f t="shared" si="7"/>
        <v>0</v>
      </c>
      <c r="AE35" s="320">
        <f t="shared" si="8"/>
        <v>0</v>
      </c>
      <c r="AF35" s="320">
        <f t="shared" si="9"/>
        <v>0</v>
      </c>
      <c r="AG35" s="320">
        <f t="shared" si="10"/>
        <v>0</v>
      </c>
      <c r="AH35" s="427">
        <v>0</v>
      </c>
      <c r="AI35" s="320">
        <f t="shared" si="11"/>
        <v>0</v>
      </c>
      <c r="AJ35" s="320">
        <f t="shared" si="12"/>
        <v>0</v>
      </c>
      <c r="AK35" s="320">
        <f t="shared" si="13"/>
        <v>0</v>
      </c>
      <c r="AL35" s="320">
        <f t="shared" si="14"/>
        <v>0</v>
      </c>
      <c r="AM35" s="320">
        <f t="shared" si="15"/>
        <v>0</v>
      </c>
      <c r="AN35" s="320">
        <f t="shared" si="16"/>
        <v>0</v>
      </c>
      <c r="AO35" s="427">
        <v>0</v>
      </c>
      <c r="AP35" s="320">
        <f t="shared" si="17"/>
        <v>0</v>
      </c>
      <c r="AQ35" s="320">
        <f t="shared" si="18"/>
        <v>0</v>
      </c>
      <c r="AR35" s="320">
        <f t="shared" si="19"/>
        <v>0</v>
      </c>
      <c r="AS35" s="320">
        <f t="shared" si="20"/>
        <v>0</v>
      </c>
      <c r="AT35" s="320">
        <f t="shared" si="21"/>
        <v>0</v>
      </c>
      <c r="AU35" s="320">
        <f t="shared" si="22"/>
        <v>0</v>
      </c>
      <c r="AV35" s="427">
        <v>0</v>
      </c>
      <c r="AW35" s="320">
        <f t="shared" si="23"/>
        <v>0</v>
      </c>
      <c r="AX35" s="320">
        <f t="shared" si="24"/>
        <v>0</v>
      </c>
      <c r="AY35" s="320">
        <f t="shared" si="25"/>
        <v>0</v>
      </c>
      <c r="AZ35" s="320">
        <f t="shared" si="26"/>
        <v>0</v>
      </c>
      <c r="BA35" s="17">
        <v>0</v>
      </c>
      <c r="BB35" s="17" t="s">
        <v>834</v>
      </c>
      <c r="BC35" s="17">
        <v>0</v>
      </c>
      <c r="BD35" s="17">
        <v>0</v>
      </c>
      <c r="BE35" s="17">
        <v>0</v>
      </c>
      <c r="BF35" s="17">
        <v>0</v>
      </c>
      <c r="BG35" s="428">
        <f t="shared" si="52"/>
        <v>0</v>
      </c>
      <c r="BH35" s="17">
        <v>0</v>
      </c>
      <c r="BI35" s="17">
        <v>0</v>
      </c>
      <c r="BJ35" s="17" t="s">
        <v>834</v>
      </c>
      <c r="BK35" s="17"/>
      <c r="BL35" s="17">
        <v>0</v>
      </c>
      <c r="BM35" s="17" t="s">
        <v>834</v>
      </c>
      <c r="BN35" s="320">
        <f t="shared" si="27"/>
        <v>0</v>
      </c>
      <c r="BO35" s="320">
        <f t="shared" si="28"/>
        <v>0</v>
      </c>
      <c r="BP35" s="427">
        <v>0</v>
      </c>
      <c r="BQ35" s="427" t="s">
        <v>834</v>
      </c>
      <c r="BR35" s="320">
        <f t="shared" si="56"/>
        <v>0</v>
      </c>
      <c r="BS35" s="320">
        <v>0</v>
      </c>
      <c r="BT35" s="427">
        <v>0</v>
      </c>
      <c r="BU35" s="320">
        <f t="shared" si="30"/>
        <v>0</v>
      </c>
      <c r="BV35" s="320">
        <f t="shared" si="31"/>
        <v>0</v>
      </c>
      <c r="BW35" s="320">
        <f t="shared" si="32"/>
        <v>0</v>
      </c>
      <c r="BX35" s="427" t="s">
        <v>814</v>
      </c>
      <c r="BY35" s="320">
        <f t="shared" si="33"/>
        <v>1</v>
      </c>
      <c r="BZ35" s="320">
        <f t="shared" si="34"/>
        <v>1</v>
      </c>
      <c r="CA35" s="320">
        <f t="shared" si="35"/>
        <v>1</v>
      </c>
      <c r="CB35" s="320">
        <f t="shared" si="36"/>
        <v>0</v>
      </c>
      <c r="CC35" s="427">
        <v>0</v>
      </c>
      <c r="CD35" s="320">
        <f t="shared" si="37"/>
        <v>0</v>
      </c>
      <c r="CE35" s="320">
        <f t="shared" si="38"/>
        <v>0</v>
      </c>
      <c r="CF35" s="320">
        <f t="shared" si="39"/>
        <v>0</v>
      </c>
      <c r="CG35" s="320">
        <f t="shared" si="40"/>
        <v>0</v>
      </c>
      <c r="CH35" s="427">
        <v>0</v>
      </c>
      <c r="CI35" s="427">
        <v>0</v>
      </c>
      <c r="CJ35" s="427">
        <v>0</v>
      </c>
      <c r="CK35" s="427">
        <v>1</v>
      </c>
      <c r="CL35" s="320">
        <f t="shared" si="53"/>
        <v>1</v>
      </c>
      <c r="CM35" s="320">
        <f t="shared" si="41"/>
        <v>0</v>
      </c>
      <c r="CN35" s="320">
        <f t="shared" si="42"/>
        <v>0</v>
      </c>
      <c r="CO35" s="320">
        <f t="shared" si="43"/>
        <v>0</v>
      </c>
      <c r="CP35" s="427">
        <v>1</v>
      </c>
      <c r="CQ35" s="427">
        <v>2</v>
      </c>
      <c r="CR35" s="320">
        <f t="shared" si="44"/>
        <v>0</v>
      </c>
      <c r="CS35" s="320">
        <f t="shared" si="45"/>
        <v>0</v>
      </c>
      <c r="CT35" s="320">
        <f t="shared" si="58"/>
        <v>1</v>
      </c>
      <c r="CU35" s="320">
        <f t="shared" si="59"/>
        <v>0</v>
      </c>
      <c r="CV35" s="427">
        <v>1</v>
      </c>
      <c r="CW35" s="17">
        <v>4</v>
      </c>
      <c r="CX35" s="320">
        <f t="shared" si="47"/>
        <v>0</v>
      </c>
      <c r="CY35" s="320">
        <f t="shared" si="48"/>
        <v>0</v>
      </c>
      <c r="CZ35" s="320">
        <f t="shared" si="49"/>
        <v>0</v>
      </c>
      <c r="DA35" s="17"/>
      <c r="DB35" s="17"/>
      <c r="DC35" s="17"/>
      <c r="DD35" s="31"/>
      <c r="DE35" s="323" t="s">
        <v>387</v>
      </c>
      <c r="DF35" s="323" t="s">
        <v>387</v>
      </c>
      <c r="DG35" s="323" t="s">
        <v>387</v>
      </c>
      <c r="DH35" s="323" t="s">
        <v>387</v>
      </c>
      <c r="DI35" s="323"/>
      <c r="DJ35" s="323" t="s">
        <v>387</v>
      </c>
      <c r="DK35" s="323">
        <v>1</v>
      </c>
      <c r="DL35" s="323" t="s">
        <v>387</v>
      </c>
      <c r="DM35" s="323" t="s">
        <v>387</v>
      </c>
      <c r="DN35" s="323" t="s">
        <v>387</v>
      </c>
      <c r="DO35" s="323" t="s">
        <v>387</v>
      </c>
      <c r="DP35" s="324">
        <v>0</v>
      </c>
      <c r="DQ35" s="383"/>
      <c r="DR35" s="239">
        <f>SUM(DS35:DX35)/6</f>
        <v>0.12993156199677938</v>
      </c>
      <c r="DS35" s="429">
        <f t="shared" si="50"/>
        <v>4.3478260869565216E-2</v>
      </c>
      <c r="DT35" s="448">
        <f>SUM(BA35:BE35,BG35)/5</f>
        <v>0</v>
      </c>
      <c r="DU35" s="429">
        <f>SUM(BI35,BO35,BS35,BU35:BW35)/6</f>
        <v>0</v>
      </c>
      <c r="DV35" s="429">
        <f>SUM(BY35-CB35,CD35-CG35)/8</f>
        <v>0.125</v>
      </c>
      <c r="DW35" s="429">
        <f>SUM(CH35:CJ35,CL35:CO35,BN35,BR35)/9</f>
        <v>0.1111111111111111</v>
      </c>
      <c r="DX35" s="429">
        <f>SUM(CP35,CR35:CV35)/6</f>
        <v>0.5</v>
      </c>
      <c r="DY35" s="59"/>
      <c r="DZ35" s="134"/>
      <c r="EA35" s="134"/>
      <c r="EB35" s="134"/>
      <c r="EC35" s="134"/>
      <c r="ED35" s="123"/>
      <c r="EG35" s="81"/>
      <c r="EH35" s="44">
        <v>0</v>
      </c>
      <c r="EI35" s="45"/>
      <c r="EJ35" s="33" t="b">
        <f t="shared" si="51"/>
        <v>0</v>
      </c>
      <c r="EK35" s="451"/>
      <c r="EL35" s="451"/>
      <c r="EM35" s="451"/>
      <c r="EN35" s="439"/>
      <c r="EO35" s="439"/>
      <c r="EP35" s="439"/>
      <c r="EQ35" s="38"/>
      <c r="ER35" s="440">
        <v>1</v>
      </c>
      <c r="ES35" s="431"/>
      <c r="ET35" s="431">
        <v>1</v>
      </c>
      <c r="EU35" s="431"/>
      <c r="EV35" s="447"/>
      <c r="EZ35" s="393" t="s">
        <v>53</v>
      </c>
      <c r="FA35" s="393" t="s">
        <v>1376</v>
      </c>
      <c r="FB35" s="389">
        <v>57.75</v>
      </c>
      <c r="FC35" s="389">
        <v>82.09</v>
      </c>
      <c r="FD35" s="389">
        <v>83.59</v>
      </c>
      <c r="FE35" s="389">
        <v>85.09</v>
      </c>
      <c r="FF35" s="389">
        <v>89.903000000000006</v>
      </c>
      <c r="FG35" s="390">
        <v>3.6545255207698865E-3</v>
      </c>
      <c r="FH35" s="390">
        <v>3.5889460461777725E-3</v>
      </c>
      <c r="FI35" s="390">
        <v>1.1312727700082272E-2</v>
      </c>
      <c r="FJ35" s="391" t="s">
        <v>1389</v>
      </c>
      <c r="FK35" s="391">
        <v>2.1521030281662568</v>
      </c>
      <c r="FL35" s="31" t="s">
        <v>1396</v>
      </c>
      <c r="FO35" s="130" t="s">
        <v>1462</v>
      </c>
      <c r="FP35" s="128"/>
    </row>
    <row r="36" spans="1:172" ht="22" hidden="1" customHeight="1" x14ac:dyDescent="0.2">
      <c r="A36" s="13" t="s">
        <v>4</v>
      </c>
      <c r="B36" s="21" t="s">
        <v>47</v>
      </c>
      <c r="C36" s="14"/>
      <c r="D36" s="14" t="s">
        <v>1068</v>
      </c>
      <c r="E36" s="128" t="s">
        <v>54</v>
      </c>
      <c r="F36" s="15" t="s">
        <v>638</v>
      </c>
      <c r="G36" s="15" t="s">
        <v>634</v>
      </c>
      <c r="H36" s="95">
        <f t="shared" ref="H36:H48" si="60">IF(G36="YES",0,1)</f>
        <v>1</v>
      </c>
      <c r="I36" s="95">
        <f t="shared" si="1"/>
        <v>0</v>
      </c>
      <c r="J36" s="95">
        <v>2</v>
      </c>
      <c r="K36" s="256">
        <f t="shared" si="2"/>
        <v>3</v>
      </c>
      <c r="L36" s="278">
        <v>0</v>
      </c>
      <c r="M36" s="25"/>
      <c r="N36" s="89"/>
      <c r="O36" s="144" t="str">
        <f t="shared" si="3"/>
        <v xml:space="preserve">Increase forest cover from 57 to 60% by 2030_x000D__x000D_4.7 tCO2eq/ha/year </v>
      </c>
      <c r="P36" s="144" t="str">
        <f>CONCATENATE(V36,R36,X36)</f>
        <v>_x000D__x000D_Restoring the natural ecology system to respond to climate change_x000D_Implementing management measures for protected areas to adapt to climate change...Ensure climate resilience of critical ecosystems (Tonle Sap Lake, Mekong River, coastal ecosystems, highlands, etc.), biodiversity, protected areas and cultural heritage sites</v>
      </c>
      <c r="Q36" s="55" t="s">
        <v>1074</v>
      </c>
      <c r="R36" s="64" t="s">
        <v>918</v>
      </c>
      <c r="S36" s="446" t="s">
        <v>506</v>
      </c>
      <c r="T36" s="300" t="s">
        <v>993</v>
      </c>
      <c r="U36" s="301" t="s">
        <v>1102</v>
      </c>
      <c r="V36" s="373"/>
      <c r="W36" s="258" t="s">
        <v>430</v>
      </c>
      <c r="X36" s="310" t="s">
        <v>956</v>
      </c>
      <c r="Y36" s="297"/>
      <c r="Z36" s="426" t="s">
        <v>317</v>
      </c>
      <c r="AA36" s="320">
        <f t="shared" si="4"/>
        <v>1</v>
      </c>
      <c r="AB36" s="320">
        <f t="shared" si="5"/>
        <v>0</v>
      </c>
      <c r="AC36" s="320">
        <f t="shared" si="6"/>
        <v>1</v>
      </c>
      <c r="AD36" s="320">
        <f t="shared" si="7"/>
        <v>0</v>
      </c>
      <c r="AE36" s="320">
        <f t="shared" si="8"/>
        <v>0</v>
      </c>
      <c r="AF36" s="320">
        <f t="shared" si="9"/>
        <v>0</v>
      </c>
      <c r="AG36" s="320">
        <f t="shared" si="10"/>
        <v>0</v>
      </c>
      <c r="AH36" s="427">
        <v>1</v>
      </c>
      <c r="AI36" s="320">
        <f t="shared" si="11"/>
        <v>1</v>
      </c>
      <c r="AJ36" s="320">
        <f t="shared" si="12"/>
        <v>0</v>
      </c>
      <c r="AK36" s="320">
        <f t="shared" si="13"/>
        <v>0</v>
      </c>
      <c r="AL36" s="320">
        <f t="shared" si="14"/>
        <v>0</v>
      </c>
      <c r="AM36" s="320">
        <f t="shared" si="15"/>
        <v>0</v>
      </c>
      <c r="AN36" s="320">
        <f t="shared" si="16"/>
        <v>0</v>
      </c>
      <c r="AO36" s="427">
        <v>0</v>
      </c>
      <c r="AP36" s="320">
        <f t="shared" si="17"/>
        <v>0</v>
      </c>
      <c r="AQ36" s="320">
        <f t="shared" si="18"/>
        <v>0</v>
      </c>
      <c r="AR36" s="320">
        <f t="shared" si="19"/>
        <v>0</v>
      </c>
      <c r="AS36" s="320">
        <f t="shared" si="20"/>
        <v>0</v>
      </c>
      <c r="AT36" s="320">
        <f t="shared" si="21"/>
        <v>0</v>
      </c>
      <c r="AU36" s="320">
        <f t="shared" si="22"/>
        <v>0</v>
      </c>
      <c r="AV36" s="427">
        <v>0</v>
      </c>
      <c r="AW36" s="320">
        <f t="shared" si="23"/>
        <v>0</v>
      </c>
      <c r="AX36" s="320">
        <f t="shared" si="24"/>
        <v>0</v>
      </c>
      <c r="AY36" s="320">
        <f t="shared" si="25"/>
        <v>0</v>
      </c>
      <c r="AZ36" s="320">
        <f t="shared" si="26"/>
        <v>0</v>
      </c>
      <c r="BA36" s="17">
        <v>1</v>
      </c>
      <c r="BB36" s="17" t="s">
        <v>1271</v>
      </c>
      <c r="BC36" s="17">
        <v>0</v>
      </c>
      <c r="BD36" s="17">
        <v>1</v>
      </c>
      <c r="BE36" s="17">
        <v>0</v>
      </c>
      <c r="BF36" s="17">
        <v>0</v>
      </c>
      <c r="BG36" s="428">
        <f t="shared" si="52"/>
        <v>0</v>
      </c>
      <c r="BH36" s="17">
        <v>0</v>
      </c>
      <c r="BI36" s="17">
        <v>1</v>
      </c>
      <c r="BJ36" s="17" t="s">
        <v>1208</v>
      </c>
      <c r="BK36" s="17"/>
      <c r="BL36" s="17">
        <v>1</v>
      </c>
      <c r="BM36" s="17" t="s">
        <v>1209</v>
      </c>
      <c r="BN36" s="320">
        <f t="shared" si="27"/>
        <v>1</v>
      </c>
      <c r="BO36" s="320">
        <f t="shared" si="28"/>
        <v>0</v>
      </c>
      <c r="BP36" s="427">
        <v>0</v>
      </c>
      <c r="BQ36" s="427" t="s">
        <v>834</v>
      </c>
      <c r="BR36" s="320">
        <f t="shared" si="56"/>
        <v>0</v>
      </c>
      <c r="BS36" s="320">
        <f>IF(ISNUMBER(SEARCH("t",$BP36)),1,0)</f>
        <v>0</v>
      </c>
      <c r="BT36" s="427">
        <v>0</v>
      </c>
      <c r="BU36" s="320">
        <f t="shared" si="30"/>
        <v>0</v>
      </c>
      <c r="BV36" s="320">
        <f t="shared" si="31"/>
        <v>0</v>
      </c>
      <c r="BW36" s="320">
        <f t="shared" si="32"/>
        <v>0</v>
      </c>
      <c r="BX36" s="427" t="s">
        <v>315</v>
      </c>
      <c r="BY36" s="320">
        <f t="shared" si="33"/>
        <v>1</v>
      </c>
      <c r="BZ36" s="320">
        <f t="shared" si="34"/>
        <v>0</v>
      </c>
      <c r="CA36" s="320">
        <f t="shared" si="35"/>
        <v>1</v>
      </c>
      <c r="CB36" s="320">
        <f t="shared" si="36"/>
        <v>0</v>
      </c>
      <c r="CC36" s="427">
        <v>0</v>
      </c>
      <c r="CD36" s="320">
        <f t="shared" si="37"/>
        <v>0</v>
      </c>
      <c r="CE36" s="320">
        <f t="shared" si="38"/>
        <v>0</v>
      </c>
      <c r="CF36" s="320">
        <f t="shared" si="39"/>
        <v>0</v>
      </c>
      <c r="CG36" s="320">
        <f t="shared" si="40"/>
        <v>0</v>
      </c>
      <c r="CH36" s="427">
        <v>1</v>
      </c>
      <c r="CI36" s="427">
        <v>0</v>
      </c>
      <c r="CJ36" s="427">
        <v>0</v>
      </c>
      <c r="CK36" s="427">
        <v>0</v>
      </c>
      <c r="CL36" s="320">
        <f t="shared" si="53"/>
        <v>0</v>
      </c>
      <c r="CM36" s="320">
        <f t="shared" si="41"/>
        <v>0</v>
      </c>
      <c r="CN36" s="320">
        <f t="shared" si="42"/>
        <v>0</v>
      </c>
      <c r="CO36" s="320">
        <f t="shared" si="43"/>
        <v>0</v>
      </c>
      <c r="CP36" s="427">
        <v>0</v>
      </c>
      <c r="CQ36" s="427" t="s">
        <v>224</v>
      </c>
      <c r="CR36" s="320">
        <f t="shared" si="44"/>
        <v>1</v>
      </c>
      <c r="CS36" s="320">
        <f t="shared" si="45"/>
        <v>0</v>
      </c>
      <c r="CT36" s="320">
        <f t="shared" si="58"/>
        <v>1</v>
      </c>
      <c r="CU36" s="320">
        <f t="shared" si="59"/>
        <v>1</v>
      </c>
      <c r="CV36" s="427">
        <v>0</v>
      </c>
      <c r="CW36" s="17">
        <v>1</v>
      </c>
      <c r="CX36" s="320">
        <f t="shared" si="47"/>
        <v>1</v>
      </c>
      <c r="CY36" s="320">
        <f t="shared" si="48"/>
        <v>0</v>
      </c>
      <c r="CZ36" s="320">
        <f t="shared" si="49"/>
        <v>0</v>
      </c>
      <c r="DA36" s="17">
        <v>0</v>
      </c>
      <c r="DB36" s="17">
        <v>0</v>
      </c>
      <c r="DC36" s="17">
        <v>1</v>
      </c>
      <c r="DD36" s="31"/>
      <c r="DE36" s="321" t="s">
        <v>424</v>
      </c>
      <c r="DF36" s="321" t="s">
        <v>425</v>
      </c>
      <c r="DG36" s="321" t="s">
        <v>426</v>
      </c>
      <c r="DH36" s="321" t="s">
        <v>392</v>
      </c>
      <c r="DI36" s="321"/>
      <c r="DJ36" s="321" t="s">
        <v>505</v>
      </c>
      <c r="DK36" s="321" t="s">
        <v>427</v>
      </c>
      <c r="DL36" s="321" t="s">
        <v>428</v>
      </c>
      <c r="DM36" s="321" t="s">
        <v>429</v>
      </c>
      <c r="DN36" s="321"/>
      <c r="DO36" s="321"/>
      <c r="DP36" s="322" t="s">
        <v>430</v>
      </c>
      <c r="DQ36" s="388"/>
      <c r="DR36" s="240">
        <f>SUM(DS36:DX36)/6</f>
        <v>0.25738727858293076</v>
      </c>
      <c r="DS36" s="429">
        <f t="shared" si="50"/>
        <v>0.13043478260869565</v>
      </c>
      <c r="DT36" s="429">
        <f>SUM(BA36:BE36,BG36)/5</f>
        <v>0.4</v>
      </c>
      <c r="DU36" s="429">
        <f>SUM(BI36,BO36,BS36,BU36:BW36)/6</f>
        <v>0.16666666666666666</v>
      </c>
      <c r="DV36" s="429">
        <f>SUM(BY36-CB36,CD36-CG36)/8</f>
        <v>0.125</v>
      </c>
      <c r="DW36" s="429">
        <f>SUM(CH36:CJ36,CL36:CO36,BN36,BR36)/9</f>
        <v>0.22222222222222221</v>
      </c>
      <c r="DX36" s="429">
        <f>SUM(CP36,CR36:CV36)/6</f>
        <v>0.5</v>
      </c>
      <c r="DY36" s="444"/>
      <c r="DZ36" s="137" t="s">
        <v>730</v>
      </c>
      <c r="EA36" s="138" t="s">
        <v>769</v>
      </c>
      <c r="EB36" s="138" t="s">
        <v>764</v>
      </c>
      <c r="EC36" s="138" t="s">
        <v>765</v>
      </c>
      <c r="ED36" s="124">
        <v>3</v>
      </c>
      <c r="EG36" s="81"/>
      <c r="EH36" s="46">
        <v>1</v>
      </c>
      <c r="EI36" s="45"/>
      <c r="EJ36" s="33" t="b">
        <f t="shared" si="51"/>
        <v>0</v>
      </c>
      <c r="EK36" s="42"/>
      <c r="EL36" s="42"/>
      <c r="EM36" s="42"/>
      <c r="EN36" s="439"/>
      <c r="EO36" s="439"/>
      <c r="EP36" s="439"/>
      <c r="EQ36" s="47"/>
      <c r="ER36" s="440">
        <v>1</v>
      </c>
      <c r="ES36" s="431">
        <v>0</v>
      </c>
      <c r="ET36" s="431">
        <v>1</v>
      </c>
      <c r="EU36" s="431">
        <v>0</v>
      </c>
      <c r="EV36" s="447" t="s">
        <v>386</v>
      </c>
      <c r="EZ36" s="393" t="s">
        <v>54</v>
      </c>
      <c r="FA36" s="393" t="s">
        <v>54</v>
      </c>
      <c r="FB36" s="389">
        <v>12944</v>
      </c>
      <c r="FC36" s="389">
        <v>11546</v>
      </c>
      <c r="FD36" s="389">
        <v>10731</v>
      </c>
      <c r="FE36" s="389">
        <v>10094</v>
      </c>
      <c r="FF36" s="389">
        <v>9457</v>
      </c>
      <c r="FG36" s="390">
        <v>-1.4117443270396674E-2</v>
      </c>
      <c r="FH36" s="390">
        <v>-1.187214611872146E-2</v>
      </c>
      <c r="FI36" s="390">
        <v>-1.262135922330097E-2</v>
      </c>
      <c r="FJ36" s="391">
        <v>6.310679611650491E-2</v>
      </c>
      <c r="FK36" s="391" t="s">
        <v>1386</v>
      </c>
      <c r="FL36" s="31" t="s">
        <v>1379</v>
      </c>
      <c r="FN36" s="128" t="s">
        <v>1456</v>
      </c>
      <c r="FO36" s="128" t="s">
        <v>1457</v>
      </c>
      <c r="FP36" s="128"/>
    </row>
    <row r="37" spans="1:172" ht="22" hidden="1" customHeight="1" x14ac:dyDescent="0.2">
      <c r="A37" s="13" t="s">
        <v>10</v>
      </c>
      <c r="B37" s="14" t="s">
        <v>14</v>
      </c>
      <c r="C37" s="14"/>
      <c r="D37" s="14"/>
      <c r="E37" s="128" t="s">
        <v>55</v>
      </c>
      <c r="F37" s="15"/>
      <c r="G37" s="15" t="s">
        <v>635</v>
      </c>
      <c r="H37" s="95">
        <f t="shared" si="60"/>
        <v>0</v>
      </c>
      <c r="I37" s="95">
        <f t="shared" si="1"/>
        <v>0</v>
      </c>
      <c r="J37" s="95"/>
      <c r="K37" s="256">
        <f t="shared" si="2"/>
        <v>0</v>
      </c>
      <c r="L37" s="278">
        <v>0</v>
      </c>
      <c r="M37" s="25"/>
      <c r="N37" s="89"/>
      <c r="O37" s="144" t="str">
        <f t="shared" si="3"/>
        <v>_x000D__x000D_</v>
      </c>
      <c r="P37" s="144"/>
      <c r="Q37" s="55"/>
      <c r="R37" s="64" t="s">
        <v>918</v>
      </c>
      <c r="S37" s="425"/>
      <c r="T37" s="301" t="s">
        <v>870</v>
      </c>
      <c r="U37" s="301" t="s">
        <v>903</v>
      </c>
      <c r="V37" s="301" t="s">
        <v>834</v>
      </c>
      <c r="W37" s="258"/>
      <c r="X37" s="307" t="s">
        <v>834</v>
      </c>
      <c r="Y37" s="274"/>
      <c r="Z37" s="426"/>
      <c r="AA37" s="320">
        <f t="shared" si="4"/>
        <v>0</v>
      </c>
      <c r="AB37" s="320">
        <f t="shared" si="5"/>
        <v>0</v>
      </c>
      <c r="AC37" s="320">
        <f t="shared" si="6"/>
        <v>0</v>
      </c>
      <c r="AD37" s="320">
        <f t="shared" si="7"/>
        <v>0</v>
      </c>
      <c r="AE37" s="320">
        <f t="shared" si="8"/>
        <v>0</v>
      </c>
      <c r="AF37" s="320">
        <f t="shared" si="9"/>
        <v>0</v>
      </c>
      <c r="AG37" s="320">
        <f t="shared" si="10"/>
        <v>0</v>
      </c>
      <c r="AH37" s="427"/>
      <c r="AI37" s="320">
        <f t="shared" si="11"/>
        <v>0</v>
      </c>
      <c r="AJ37" s="320">
        <f t="shared" si="12"/>
        <v>0</v>
      </c>
      <c r="AK37" s="320">
        <f t="shared" si="13"/>
        <v>0</v>
      </c>
      <c r="AL37" s="320">
        <f t="shared" si="14"/>
        <v>0</v>
      </c>
      <c r="AM37" s="320">
        <f t="shared" si="15"/>
        <v>0</v>
      </c>
      <c r="AN37" s="320">
        <f t="shared" si="16"/>
        <v>0</v>
      </c>
      <c r="AO37" s="427"/>
      <c r="AP37" s="320">
        <f t="shared" si="17"/>
        <v>0</v>
      </c>
      <c r="AQ37" s="320">
        <f t="shared" si="18"/>
        <v>0</v>
      </c>
      <c r="AR37" s="320">
        <f t="shared" si="19"/>
        <v>0</v>
      </c>
      <c r="AS37" s="320">
        <f t="shared" si="20"/>
        <v>0</v>
      </c>
      <c r="AT37" s="320">
        <f t="shared" si="21"/>
        <v>0</v>
      </c>
      <c r="AU37" s="320">
        <f t="shared" si="22"/>
        <v>0</v>
      </c>
      <c r="AV37" s="427"/>
      <c r="AW37" s="320">
        <f t="shared" si="23"/>
        <v>0</v>
      </c>
      <c r="AX37" s="320">
        <f t="shared" si="24"/>
        <v>0</v>
      </c>
      <c r="AY37" s="320">
        <f t="shared" si="25"/>
        <v>0</v>
      </c>
      <c r="AZ37" s="320">
        <f t="shared" si="26"/>
        <v>0</v>
      </c>
      <c r="BA37" s="17">
        <v>1</v>
      </c>
      <c r="BB37" s="17" t="s">
        <v>870</v>
      </c>
      <c r="BC37" s="17"/>
      <c r="BD37" s="17"/>
      <c r="BE37" s="17"/>
      <c r="BF37" s="17"/>
      <c r="BG37" s="428">
        <f t="shared" si="52"/>
        <v>0</v>
      </c>
      <c r="BH37" s="17"/>
      <c r="BI37" s="17" t="s">
        <v>647</v>
      </c>
      <c r="BJ37" s="17"/>
      <c r="BK37" s="17"/>
      <c r="BL37" s="17"/>
      <c r="BM37" s="17"/>
      <c r="BN37" s="320">
        <f t="shared" si="27"/>
        <v>0</v>
      </c>
      <c r="BO37" s="320">
        <f t="shared" si="28"/>
        <v>0</v>
      </c>
      <c r="BP37" s="427"/>
      <c r="BQ37" s="427"/>
      <c r="BR37" s="320">
        <f t="shared" si="56"/>
        <v>0</v>
      </c>
      <c r="BS37" s="320">
        <f t="shared" si="56"/>
        <v>0</v>
      </c>
      <c r="BT37" s="427"/>
      <c r="BU37" s="320">
        <f t="shared" si="30"/>
        <v>0</v>
      </c>
      <c r="BV37" s="320">
        <f t="shared" si="31"/>
        <v>0</v>
      </c>
      <c r="BW37" s="320">
        <f t="shared" si="32"/>
        <v>0</v>
      </c>
      <c r="BX37" s="427"/>
      <c r="BY37" s="320">
        <f t="shared" si="33"/>
        <v>0</v>
      </c>
      <c r="BZ37" s="320">
        <f t="shared" si="34"/>
        <v>0</v>
      </c>
      <c r="CA37" s="320">
        <f t="shared" si="35"/>
        <v>0</v>
      </c>
      <c r="CB37" s="320">
        <f t="shared" si="36"/>
        <v>0</v>
      </c>
      <c r="CC37" s="427"/>
      <c r="CD37" s="320">
        <f t="shared" si="37"/>
        <v>0</v>
      </c>
      <c r="CE37" s="320">
        <f t="shared" si="38"/>
        <v>0</v>
      </c>
      <c r="CF37" s="320">
        <f t="shared" si="39"/>
        <v>0</v>
      </c>
      <c r="CG37" s="320">
        <f t="shared" si="40"/>
        <v>0</v>
      </c>
      <c r="CH37" s="427"/>
      <c r="CI37" s="427"/>
      <c r="CJ37" s="427"/>
      <c r="CK37" s="427"/>
      <c r="CL37" s="320">
        <f t="shared" si="53"/>
        <v>0</v>
      </c>
      <c r="CM37" s="320">
        <f t="shared" si="41"/>
        <v>0</v>
      </c>
      <c r="CN37" s="320">
        <f t="shared" si="42"/>
        <v>0</v>
      </c>
      <c r="CO37" s="320">
        <f t="shared" si="43"/>
        <v>0</v>
      </c>
      <c r="CP37" s="427"/>
      <c r="CQ37" s="427"/>
      <c r="CR37" s="320">
        <f t="shared" si="44"/>
        <v>0</v>
      </c>
      <c r="CS37" s="320">
        <f t="shared" si="45"/>
        <v>0</v>
      </c>
      <c r="CT37" s="320">
        <f t="shared" si="58"/>
        <v>0</v>
      </c>
      <c r="CU37" s="320">
        <f t="shared" si="59"/>
        <v>0</v>
      </c>
      <c r="CV37" s="427"/>
      <c r="CW37" s="17"/>
      <c r="CX37" s="320">
        <f t="shared" si="47"/>
        <v>0</v>
      </c>
      <c r="CY37" s="320">
        <f t="shared" si="48"/>
        <v>0</v>
      </c>
      <c r="CZ37" s="320">
        <f t="shared" si="49"/>
        <v>0</v>
      </c>
      <c r="DA37" s="17"/>
      <c r="DB37" s="17"/>
      <c r="DC37" s="17"/>
      <c r="DD37" s="31"/>
      <c r="DE37" s="323"/>
      <c r="DF37" s="323"/>
      <c r="DG37" s="323"/>
      <c r="DH37" s="323"/>
      <c r="DI37" s="323"/>
      <c r="DJ37" s="323"/>
      <c r="DK37" s="323"/>
      <c r="DL37" s="323"/>
      <c r="DM37" s="323"/>
      <c r="DN37" s="323"/>
      <c r="DO37" s="323"/>
      <c r="DP37" s="324"/>
      <c r="DQ37" s="385"/>
      <c r="DR37" s="242"/>
      <c r="DS37" s="429">
        <f t="shared" si="50"/>
        <v>0</v>
      </c>
      <c r="DT37" s="438"/>
      <c r="DU37" s="59"/>
      <c r="DV37" s="59"/>
      <c r="DW37" s="59"/>
      <c r="DX37" s="59"/>
      <c r="DY37" s="59"/>
      <c r="DZ37" s="134"/>
      <c r="EA37" s="134"/>
      <c r="EB37" s="134"/>
      <c r="EC37" s="134"/>
      <c r="ED37" s="123"/>
      <c r="EG37" s="81"/>
      <c r="EH37" s="44"/>
      <c r="EI37" s="45"/>
      <c r="EJ37" s="33" t="b">
        <f t="shared" si="51"/>
        <v>0</v>
      </c>
      <c r="EK37" s="42"/>
      <c r="EL37" s="42"/>
      <c r="EM37" s="42"/>
      <c r="EN37" s="439"/>
      <c r="EO37" s="439"/>
      <c r="EP37" s="439"/>
      <c r="EQ37" s="38"/>
      <c r="ER37" s="440">
        <v>1</v>
      </c>
      <c r="ES37" s="431"/>
      <c r="ET37" s="431">
        <v>1</v>
      </c>
      <c r="EU37" s="431"/>
      <c r="EV37" s="447"/>
      <c r="EZ37" s="393" t="s">
        <v>55</v>
      </c>
      <c r="FA37" s="393" t="s">
        <v>55</v>
      </c>
      <c r="FB37" s="389">
        <v>24316</v>
      </c>
      <c r="FC37" s="389">
        <v>22116</v>
      </c>
      <c r="FD37" s="389">
        <v>21016</v>
      </c>
      <c r="FE37" s="389">
        <v>19916</v>
      </c>
      <c r="FF37" s="389">
        <v>18816</v>
      </c>
      <c r="FG37" s="390">
        <v>-9.9475492855850972E-3</v>
      </c>
      <c r="FH37" s="390">
        <v>-1.0468214693566806E-2</v>
      </c>
      <c r="FI37" s="390">
        <v>-1.1046394858405303E-2</v>
      </c>
      <c r="FJ37" s="391">
        <v>5.5231974292026538E-2</v>
      </c>
      <c r="FK37" s="391" t="s">
        <v>1386</v>
      </c>
      <c r="FL37" s="31" t="s">
        <v>1379</v>
      </c>
      <c r="FN37" s="128" t="s">
        <v>1458</v>
      </c>
      <c r="FO37" s="128" t="s">
        <v>1459</v>
      </c>
      <c r="FP37" s="128"/>
    </row>
    <row r="38" spans="1:172" ht="22" hidden="1" customHeight="1" x14ac:dyDescent="0.2">
      <c r="A38" s="13" t="s">
        <v>16</v>
      </c>
      <c r="B38" s="22" t="s">
        <v>56</v>
      </c>
      <c r="C38" s="22"/>
      <c r="D38" s="22"/>
      <c r="E38" s="128" t="s">
        <v>57</v>
      </c>
      <c r="F38" s="15"/>
      <c r="G38" s="15" t="s">
        <v>635</v>
      </c>
      <c r="H38" s="95">
        <f t="shared" si="60"/>
        <v>0</v>
      </c>
      <c r="I38" s="95">
        <f t="shared" si="1"/>
        <v>2</v>
      </c>
      <c r="J38" s="95"/>
      <c r="K38" s="256">
        <f t="shared" si="2"/>
        <v>2</v>
      </c>
      <c r="L38" s="278" t="s">
        <v>678</v>
      </c>
      <c r="M38" s="25">
        <v>1</v>
      </c>
      <c r="N38" s="89"/>
      <c r="O38" s="144" t="str">
        <f t="shared" si="3"/>
        <v>_x000D__x000D_</v>
      </c>
      <c r="P38" s="144"/>
      <c r="Q38" s="55"/>
      <c r="R38" s="64" t="s">
        <v>918</v>
      </c>
      <c r="S38" s="425"/>
      <c r="T38" s="300" t="s">
        <v>872</v>
      </c>
      <c r="U38" s="300" t="s">
        <v>834</v>
      </c>
      <c r="V38" s="301" t="s">
        <v>834</v>
      </c>
      <c r="W38" s="258"/>
      <c r="X38" s="307" t="s">
        <v>834</v>
      </c>
      <c r="Y38" s="274"/>
      <c r="Z38" s="426"/>
      <c r="AA38" s="320">
        <f t="shared" si="4"/>
        <v>0</v>
      </c>
      <c r="AB38" s="320">
        <f t="shared" si="5"/>
        <v>0</v>
      </c>
      <c r="AC38" s="320">
        <f t="shared" si="6"/>
        <v>0</v>
      </c>
      <c r="AD38" s="320">
        <f t="shared" si="7"/>
        <v>0</v>
      </c>
      <c r="AE38" s="320">
        <f t="shared" si="8"/>
        <v>0</v>
      </c>
      <c r="AF38" s="320">
        <f t="shared" si="9"/>
        <v>0</v>
      </c>
      <c r="AG38" s="320">
        <f t="shared" si="10"/>
        <v>0</v>
      </c>
      <c r="AH38" s="427"/>
      <c r="AI38" s="320">
        <f t="shared" si="11"/>
        <v>0</v>
      </c>
      <c r="AJ38" s="320">
        <f t="shared" si="12"/>
        <v>0</v>
      </c>
      <c r="AK38" s="320">
        <f t="shared" si="13"/>
        <v>0</v>
      </c>
      <c r="AL38" s="320">
        <f t="shared" si="14"/>
        <v>0</v>
      </c>
      <c r="AM38" s="320">
        <f t="shared" si="15"/>
        <v>0</v>
      </c>
      <c r="AN38" s="320">
        <f t="shared" si="16"/>
        <v>0</v>
      </c>
      <c r="AO38" s="427"/>
      <c r="AP38" s="320">
        <f t="shared" si="17"/>
        <v>0</v>
      </c>
      <c r="AQ38" s="320">
        <f t="shared" si="18"/>
        <v>0</v>
      </c>
      <c r="AR38" s="320">
        <f t="shared" si="19"/>
        <v>0</v>
      </c>
      <c r="AS38" s="320">
        <f t="shared" si="20"/>
        <v>0</v>
      </c>
      <c r="AT38" s="320">
        <f t="shared" si="21"/>
        <v>0</v>
      </c>
      <c r="AU38" s="320">
        <f t="shared" si="22"/>
        <v>0</v>
      </c>
      <c r="AV38" s="427"/>
      <c r="AW38" s="320">
        <f t="shared" si="23"/>
        <v>0</v>
      </c>
      <c r="AX38" s="320">
        <f t="shared" si="24"/>
        <v>0</v>
      </c>
      <c r="AY38" s="320">
        <f t="shared" si="25"/>
        <v>0</v>
      </c>
      <c r="AZ38" s="320">
        <f t="shared" si="26"/>
        <v>0</v>
      </c>
      <c r="BA38" s="17">
        <v>1</v>
      </c>
      <c r="BB38" s="17" t="s">
        <v>872</v>
      </c>
      <c r="BC38" s="17"/>
      <c r="BD38" s="17"/>
      <c r="BE38" s="17"/>
      <c r="BF38" s="17"/>
      <c r="BG38" s="428">
        <f t="shared" si="52"/>
        <v>0</v>
      </c>
      <c r="BH38" s="17"/>
      <c r="BI38" s="17"/>
      <c r="BJ38" s="17"/>
      <c r="BK38" s="17"/>
      <c r="BL38" s="17"/>
      <c r="BM38" s="17"/>
      <c r="BN38" s="320">
        <f t="shared" si="27"/>
        <v>0</v>
      </c>
      <c r="BO38" s="320">
        <f t="shared" si="28"/>
        <v>0</v>
      </c>
      <c r="BP38" s="427"/>
      <c r="BQ38" s="427"/>
      <c r="BR38" s="320">
        <f t="shared" si="56"/>
        <v>0</v>
      </c>
      <c r="BS38" s="320">
        <f t="shared" si="56"/>
        <v>0</v>
      </c>
      <c r="BT38" s="427"/>
      <c r="BU38" s="320">
        <f t="shared" si="30"/>
        <v>0</v>
      </c>
      <c r="BV38" s="320">
        <f t="shared" si="31"/>
        <v>0</v>
      </c>
      <c r="BW38" s="320">
        <f t="shared" si="32"/>
        <v>0</v>
      </c>
      <c r="BX38" s="427"/>
      <c r="BY38" s="320">
        <f t="shared" si="33"/>
        <v>0</v>
      </c>
      <c r="BZ38" s="320">
        <f t="shared" si="34"/>
        <v>0</v>
      </c>
      <c r="CA38" s="320">
        <f t="shared" si="35"/>
        <v>0</v>
      </c>
      <c r="CB38" s="320">
        <f t="shared" si="36"/>
        <v>0</v>
      </c>
      <c r="CC38" s="427"/>
      <c r="CD38" s="320">
        <f t="shared" si="37"/>
        <v>0</v>
      </c>
      <c r="CE38" s="320">
        <f t="shared" si="38"/>
        <v>0</v>
      </c>
      <c r="CF38" s="320">
        <f t="shared" si="39"/>
        <v>0</v>
      </c>
      <c r="CG38" s="320">
        <f t="shared" si="40"/>
        <v>0</v>
      </c>
      <c r="CH38" s="427"/>
      <c r="CI38" s="427"/>
      <c r="CJ38" s="427"/>
      <c r="CK38" s="427"/>
      <c r="CL38" s="320">
        <f t="shared" si="53"/>
        <v>0</v>
      </c>
      <c r="CM38" s="320">
        <f t="shared" si="41"/>
        <v>0</v>
      </c>
      <c r="CN38" s="320">
        <f t="shared" si="42"/>
        <v>0</v>
      </c>
      <c r="CO38" s="320">
        <f t="shared" si="43"/>
        <v>0</v>
      </c>
      <c r="CP38" s="427"/>
      <c r="CQ38" s="427"/>
      <c r="CR38" s="320">
        <f t="shared" si="44"/>
        <v>0</v>
      </c>
      <c r="CS38" s="320">
        <f t="shared" si="45"/>
        <v>0</v>
      </c>
      <c r="CT38" s="320">
        <f t="shared" si="58"/>
        <v>0</v>
      </c>
      <c r="CU38" s="320">
        <f t="shared" si="59"/>
        <v>0</v>
      </c>
      <c r="CV38" s="427"/>
      <c r="CW38" s="17"/>
      <c r="CX38" s="320">
        <f t="shared" si="47"/>
        <v>0</v>
      </c>
      <c r="CY38" s="320">
        <f t="shared" si="48"/>
        <v>0</v>
      </c>
      <c r="CZ38" s="320">
        <f t="shared" si="49"/>
        <v>0</v>
      </c>
      <c r="DA38" s="17"/>
      <c r="DB38" s="17"/>
      <c r="DC38" s="17"/>
      <c r="DD38" s="31"/>
      <c r="DE38" s="321"/>
      <c r="DF38" s="321"/>
      <c r="DG38" s="321"/>
      <c r="DH38" s="321"/>
      <c r="DI38" s="321"/>
      <c r="DJ38" s="321"/>
      <c r="DK38" s="321"/>
      <c r="DL38" s="321"/>
      <c r="DM38" s="321"/>
      <c r="DN38" s="321"/>
      <c r="DO38" s="321"/>
      <c r="DP38" s="322"/>
      <c r="DQ38" s="385"/>
      <c r="DR38" s="241"/>
      <c r="DS38" s="429">
        <f t="shared" si="50"/>
        <v>0</v>
      </c>
      <c r="DT38" s="438"/>
      <c r="DU38" s="59"/>
      <c r="DV38" s="59"/>
      <c r="DW38" s="59"/>
      <c r="DX38" s="59"/>
      <c r="DY38" s="59"/>
      <c r="DZ38" s="134"/>
      <c r="EA38" s="134"/>
      <c r="EB38" s="134"/>
      <c r="EC38" s="134"/>
      <c r="ED38" s="123"/>
      <c r="EG38" s="81"/>
      <c r="EH38" s="46">
        <v>0</v>
      </c>
      <c r="EI38" s="45"/>
      <c r="EJ38" s="33" t="e">
        <f t="shared" si="51"/>
        <v>#VALUE!</v>
      </c>
      <c r="EK38" s="42"/>
      <c r="EL38" s="42"/>
      <c r="EM38" s="42"/>
      <c r="EN38" s="439"/>
      <c r="EO38" s="439"/>
      <c r="EP38" s="439"/>
      <c r="EQ38" s="47"/>
      <c r="ER38" s="440">
        <v>1</v>
      </c>
      <c r="ES38" s="431"/>
      <c r="ET38" s="431">
        <v>1</v>
      </c>
      <c r="EU38" s="431"/>
      <c r="EV38" s="447"/>
      <c r="EZ38" s="393" t="s">
        <v>57</v>
      </c>
      <c r="FA38" s="393" t="s">
        <v>57</v>
      </c>
      <c r="FB38" s="389">
        <v>348273</v>
      </c>
      <c r="FC38" s="389">
        <v>347802</v>
      </c>
      <c r="FD38" s="389">
        <v>347576</v>
      </c>
      <c r="FE38" s="389">
        <v>347302</v>
      </c>
      <c r="FF38" s="389">
        <v>347069</v>
      </c>
      <c r="FG38" s="390">
        <v>-1.2995899966072652E-4</v>
      </c>
      <c r="FH38" s="390">
        <v>-1.5766335995580821E-4</v>
      </c>
      <c r="FI38" s="390">
        <v>-1.3417717145308694E-4</v>
      </c>
      <c r="FJ38" s="391">
        <v>-0.14896415063908483</v>
      </c>
      <c r="FK38" s="391" t="s">
        <v>1386</v>
      </c>
      <c r="FL38" s="31" t="s">
        <v>1391</v>
      </c>
      <c r="FN38" s="128" t="s">
        <v>1460</v>
      </c>
      <c r="FO38" s="128" t="s">
        <v>1461</v>
      </c>
      <c r="FP38" s="128"/>
    </row>
    <row r="39" spans="1:172" ht="22" hidden="1" customHeight="1" x14ac:dyDescent="0.2">
      <c r="A39" s="13" t="s">
        <v>16</v>
      </c>
      <c r="B39" s="19" t="s">
        <v>17</v>
      </c>
      <c r="C39" s="19"/>
      <c r="D39" s="19"/>
      <c r="E39" s="128" t="s">
        <v>58</v>
      </c>
      <c r="F39" s="15"/>
      <c r="G39" s="15" t="s">
        <v>634</v>
      </c>
      <c r="H39" s="95">
        <f t="shared" si="60"/>
        <v>1</v>
      </c>
      <c r="I39" s="95">
        <f t="shared" si="1"/>
        <v>0</v>
      </c>
      <c r="J39" s="95"/>
      <c r="K39" s="256">
        <f t="shared" si="2"/>
        <v>1</v>
      </c>
      <c r="L39" s="278">
        <v>0</v>
      </c>
      <c r="M39" s="25"/>
      <c r="N39" s="89"/>
      <c r="O39" s="144" t="str">
        <f t="shared" si="3"/>
        <v>_x000D__x000D_</v>
      </c>
      <c r="P39" s="144"/>
      <c r="Q39" s="55"/>
      <c r="R39" s="64" t="s">
        <v>918</v>
      </c>
      <c r="S39" s="425"/>
      <c r="T39" s="300" t="s">
        <v>834</v>
      </c>
      <c r="U39" s="301" t="s">
        <v>834</v>
      </c>
      <c r="V39" s="301" t="s">
        <v>834</v>
      </c>
      <c r="W39" s="258"/>
      <c r="X39" s="307" t="s">
        <v>834</v>
      </c>
      <c r="Y39" s="274"/>
      <c r="Z39" s="426"/>
      <c r="AA39" s="320">
        <f t="shared" si="4"/>
        <v>0</v>
      </c>
      <c r="AB39" s="320">
        <f t="shared" si="5"/>
        <v>0</v>
      </c>
      <c r="AC39" s="320">
        <f t="shared" si="6"/>
        <v>0</v>
      </c>
      <c r="AD39" s="320">
        <f t="shared" si="7"/>
        <v>0</v>
      </c>
      <c r="AE39" s="320">
        <f t="shared" si="8"/>
        <v>0</v>
      </c>
      <c r="AF39" s="320">
        <f t="shared" si="9"/>
        <v>0</v>
      </c>
      <c r="AG39" s="320">
        <f t="shared" si="10"/>
        <v>0</v>
      </c>
      <c r="AH39" s="427"/>
      <c r="AI39" s="320">
        <f t="shared" si="11"/>
        <v>0</v>
      </c>
      <c r="AJ39" s="320">
        <f t="shared" si="12"/>
        <v>0</v>
      </c>
      <c r="AK39" s="320">
        <f t="shared" si="13"/>
        <v>0</v>
      </c>
      <c r="AL39" s="320">
        <f t="shared" si="14"/>
        <v>0</v>
      </c>
      <c r="AM39" s="320">
        <f t="shared" si="15"/>
        <v>0</v>
      </c>
      <c r="AN39" s="320">
        <f t="shared" si="16"/>
        <v>0</v>
      </c>
      <c r="AO39" s="427"/>
      <c r="AP39" s="320">
        <f t="shared" si="17"/>
        <v>0</v>
      </c>
      <c r="AQ39" s="320">
        <f t="shared" si="18"/>
        <v>0</v>
      </c>
      <c r="AR39" s="320">
        <f t="shared" si="19"/>
        <v>0</v>
      </c>
      <c r="AS39" s="320">
        <f t="shared" si="20"/>
        <v>0</v>
      </c>
      <c r="AT39" s="320">
        <f t="shared" si="21"/>
        <v>0</v>
      </c>
      <c r="AU39" s="320">
        <f t="shared" si="22"/>
        <v>0</v>
      </c>
      <c r="AV39" s="427"/>
      <c r="AW39" s="320">
        <f t="shared" si="23"/>
        <v>0</v>
      </c>
      <c r="AX39" s="320">
        <f t="shared" si="24"/>
        <v>0</v>
      </c>
      <c r="AY39" s="320">
        <f t="shared" si="25"/>
        <v>0</v>
      </c>
      <c r="AZ39" s="320">
        <f t="shared" si="26"/>
        <v>0</v>
      </c>
      <c r="BA39" s="17"/>
      <c r="BB39" s="17" t="s">
        <v>834</v>
      </c>
      <c r="BC39" s="17"/>
      <c r="BD39" s="17"/>
      <c r="BE39" s="17"/>
      <c r="BF39" s="17"/>
      <c r="BG39" s="428">
        <f t="shared" si="52"/>
        <v>0</v>
      </c>
      <c r="BH39" s="17"/>
      <c r="BI39" s="17"/>
      <c r="BJ39" s="17"/>
      <c r="BK39" s="17"/>
      <c r="BL39" s="17"/>
      <c r="BM39" s="17"/>
      <c r="BN39" s="320">
        <f t="shared" si="27"/>
        <v>0</v>
      </c>
      <c r="BO39" s="320">
        <f t="shared" si="28"/>
        <v>0</v>
      </c>
      <c r="BP39" s="427"/>
      <c r="BQ39" s="427"/>
      <c r="BR39" s="320">
        <f t="shared" si="56"/>
        <v>0</v>
      </c>
      <c r="BS39" s="320">
        <f t="shared" si="56"/>
        <v>0</v>
      </c>
      <c r="BT39" s="427"/>
      <c r="BU39" s="320">
        <f t="shared" si="30"/>
        <v>0</v>
      </c>
      <c r="BV39" s="320">
        <f t="shared" si="31"/>
        <v>0</v>
      </c>
      <c r="BW39" s="320">
        <f t="shared" si="32"/>
        <v>0</v>
      </c>
      <c r="BX39" s="427"/>
      <c r="BY39" s="320">
        <f t="shared" si="33"/>
        <v>0</v>
      </c>
      <c r="BZ39" s="320">
        <f t="shared" si="34"/>
        <v>0</v>
      </c>
      <c r="CA39" s="320">
        <f t="shared" si="35"/>
        <v>0</v>
      </c>
      <c r="CB39" s="320">
        <f t="shared" si="36"/>
        <v>0</v>
      </c>
      <c r="CC39" s="427"/>
      <c r="CD39" s="320">
        <f t="shared" si="37"/>
        <v>0</v>
      </c>
      <c r="CE39" s="320">
        <f t="shared" si="38"/>
        <v>0</v>
      </c>
      <c r="CF39" s="320">
        <f t="shared" si="39"/>
        <v>0</v>
      </c>
      <c r="CG39" s="320">
        <f t="shared" si="40"/>
        <v>0</v>
      </c>
      <c r="CH39" s="427"/>
      <c r="CI39" s="427"/>
      <c r="CJ39" s="427"/>
      <c r="CK39" s="427"/>
      <c r="CL39" s="320">
        <f t="shared" si="53"/>
        <v>0</v>
      </c>
      <c r="CM39" s="320">
        <f t="shared" si="41"/>
        <v>0</v>
      </c>
      <c r="CN39" s="320">
        <f t="shared" si="42"/>
        <v>0</v>
      </c>
      <c r="CO39" s="320">
        <f t="shared" si="43"/>
        <v>0</v>
      </c>
      <c r="CP39" s="427"/>
      <c r="CQ39" s="427"/>
      <c r="CR39" s="320">
        <f t="shared" si="44"/>
        <v>0</v>
      </c>
      <c r="CS39" s="320">
        <f t="shared" si="45"/>
        <v>0</v>
      </c>
      <c r="CT39" s="320">
        <f t="shared" si="58"/>
        <v>0</v>
      </c>
      <c r="CU39" s="320">
        <f t="shared" si="59"/>
        <v>0</v>
      </c>
      <c r="CV39" s="427"/>
      <c r="CW39" s="17"/>
      <c r="CX39" s="320">
        <f t="shared" si="47"/>
        <v>0</v>
      </c>
      <c r="CY39" s="320">
        <f t="shared" si="48"/>
        <v>0</v>
      </c>
      <c r="CZ39" s="320">
        <f t="shared" si="49"/>
        <v>0</v>
      </c>
      <c r="DA39" s="17"/>
      <c r="DB39" s="17"/>
      <c r="DC39" s="17"/>
      <c r="DD39" s="31"/>
      <c r="DE39" s="323"/>
      <c r="DF39" s="323"/>
      <c r="DG39" s="323"/>
      <c r="DH39" s="323"/>
      <c r="DI39" s="323"/>
      <c r="DJ39" s="323"/>
      <c r="DK39" s="323"/>
      <c r="DL39" s="323"/>
      <c r="DM39" s="323"/>
      <c r="DN39" s="323"/>
      <c r="DO39" s="323"/>
      <c r="DP39" s="324"/>
      <c r="DQ39" s="385"/>
      <c r="DR39" s="242"/>
      <c r="DS39" s="429">
        <f t="shared" si="50"/>
        <v>0</v>
      </c>
      <c r="DT39" s="438"/>
      <c r="DU39" s="59"/>
      <c r="DV39" s="59"/>
      <c r="DW39" s="59"/>
      <c r="DX39" s="59"/>
      <c r="DY39" s="59"/>
      <c r="DZ39" s="134"/>
      <c r="EA39" s="134"/>
      <c r="EB39" s="134"/>
      <c r="EC39" s="134"/>
      <c r="ED39" s="123"/>
      <c r="EG39" s="81"/>
      <c r="EH39" s="46"/>
      <c r="EI39" s="56"/>
      <c r="EJ39" s="33" t="b">
        <f t="shared" si="51"/>
        <v>0</v>
      </c>
      <c r="EK39" s="57"/>
      <c r="EL39" s="57"/>
      <c r="EM39" s="57"/>
      <c r="EN39" s="75"/>
      <c r="EO39" s="75"/>
      <c r="EP39" s="75"/>
      <c r="EQ39" s="54"/>
      <c r="ER39" s="58">
        <v>1</v>
      </c>
      <c r="ES39" s="59"/>
      <c r="ET39" s="67">
        <v>0</v>
      </c>
      <c r="EU39" s="146"/>
      <c r="EV39" s="148"/>
      <c r="EZ39" s="393" t="s">
        <v>58</v>
      </c>
      <c r="FA39" s="393" t="s">
        <v>58</v>
      </c>
      <c r="FB39" s="389">
        <v>12.7</v>
      </c>
      <c r="FC39" s="389">
        <v>12.7</v>
      </c>
      <c r="FD39" s="389">
        <v>12.7</v>
      </c>
      <c r="FE39" s="389">
        <v>12.7</v>
      </c>
      <c r="FF39" s="389">
        <v>12.7</v>
      </c>
      <c r="FG39" s="390">
        <v>0</v>
      </c>
      <c r="FH39" s="390">
        <v>0</v>
      </c>
      <c r="FI39" s="390">
        <v>0</v>
      </c>
      <c r="FJ39" s="391">
        <v>0</v>
      </c>
      <c r="FK39" s="391" t="s">
        <v>1386</v>
      </c>
      <c r="FL39" s="31" t="s">
        <v>1387</v>
      </c>
      <c r="FN39" s="128"/>
      <c r="FO39" s="128" t="s">
        <v>1463</v>
      </c>
      <c r="FP39" s="128"/>
    </row>
    <row r="40" spans="1:172" ht="22" hidden="1" customHeight="1" x14ac:dyDescent="0.2">
      <c r="A40" s="13" t="s">
        <v>10</v>
      </c>
      <c r="B40" s="14" t="s">
        <v>14</v>
      </c>
      <c r="C40" s="14"/>
      <c r="D40" s="14"/>
      <c r="E40" s="129" t="s">
        <v>59</v>
      </c>
      <c r="F40" s="15"/>
      <c r="G40" s="15" t="s">
        <v>634</v>
      </c>
      <c r="H40" s="91">
        <f t="shared" si="60"/>
        <v>1</v>
      </c>
      <c r="I40" s="95">
        <f t="shared" si="1"/>
        <v>2</v>
      </c>
      <c r="J40" s="91"/>
      <c r="K40" s="256">
        <f t="shared" si="2"/>
        <v>3</v>
      </c>
      <c r="L40" s="101" t="s">
        <v>640</v>
      </c>
      <c r="M40" s="25"/>
      <c r="N40" s="26">
        <v>3500000</v>
      </c>
      <c r="O40" s="98" t="str">
        <f t="shared" si="3"/>
        <v>_x000D__x000D_</v>
      </c>
      <c r="P40" s="144"/>
      <c r="Q40" s="55"/>
      <c r="R40" s="64" t="s">
        <v>918</v>
      </c>
      <c r="S40" s="425"/>
      <c r="T40" s="300" t="s">
        <v>834</v>
      </c>
      <c r="U40" s="300" t="s">
        <v>834</v>
      </c>
      <c r="V40" s="301" t="s">
        <v>834</v>
      </c>
      <c r="W40" s="258"/>
      <c r="X40" s="307" t="s">
        <v>834</v>
      </c>
      <c r="Y40" s="274"/>
      <c r="Z40" s="426"/>
      <c r="AA40" s="320">
        <f t="shared" si="4"/>
        <v>0</v>
      </c>
      <c r="AB40" s="320">
        <f t="shared" si="5"/>
        <v>0</v>
      </c>
      <c r="AC40" s="320">
        <f t="shared" si="6"/>
        <v>0</v>
      </c>
      <c r="AD40" s="320">
        <f t="shared" si="7"/>
        <v>0</v>
      </c>
      <c r="AE40" s="320">
        <f t="shared" si="8"/>
        <v>0</v>
      </c>
      <c r="AF40" s="320">
        <f t="shared" si="9"/>
        <v>0</v>
      </c>
      <c r="AG40" s="320">
        <f t="shared" si="10"/>
        <v>0</v>
      </c>
      <c r="AH40" s="427"/>
      <c r="AI40" s="320">
        <f t="shared" si="11"/>
        <v>0</v>
      </c>
      <c r="AJ40" s="320">
        <f t="shared" si="12"/>
        <v>0</v>
      </c>
      <c r="AK40" s="320">
        <f t="shared" si="13"/>
        <v>0</v>
      </c>
      <c r="AL40" s="320">
        <f t="shared" si="14"/>
        <v>0</v>
      </c>
      <c r="AM40" s="320">
        <f t="shared" si="15"/>
        <v>0</v>
      </c>
      <c r="AN40" s="320">
        <f t="shared" si="16"/>
        <v>0</v>
      </c>
      <c r="AO40" s="427"/>
      <c r="AP40" s="320">
        <f t="shared" si="17"/>
        <v>0</v>
      </c>
      <c r="AQ40" s="320">
        <f t="shared" si="18"/>
        <v>0</v>
      </c>
      <c r="AR40" s="320">
        <f t="shared" si="19"/>
        <v>0</v>
      </c>
      <c r="AS40" s="320">
        <f t="shared" si="20"/>
        <v>0</v>
      </c>
      <c r="AT40" s="320">
        <f t="shared" si="21"/>
        <v>0</v>
      </c>
      <c r="AU40" s="320">
        <f t="shared" si="22"/>
        <v>0</v>
      </c>
      <c r="AV40" s="427"/>
      <c r="AW40" s="320">
        <f t="shared" si="23"/>
        <v>0</v>
      </c>
      <c r="AX40" s="320">
        <f t="shared" si="24"/>
        <v>0</v>
      </c>
      <c r="AY40" s="320">
        <f t="shared" si="25"/>
        <v>0</v>
      </c>
      <c r="AZ40" s="320">
        <f t="shared" si="26"/>
        <v>0</v>
      </c>
      <c r="BA40" s="17"/>
      <c r="BB40" s="17" t="s">
        <v>834</v>
      </c>
      <c r="BC40" s="17"/>
      <c r="BD40" s="17"/>
      <c r="BE40" s="17"/>
      <c r="BF40" s="17"/>
      <c r="BG40" s="428">
        <f t="shared" si="52"/>
        <v>0</v>
      </c>
      <c r="BH40" s="17"/>
      <c r="BI40" s="17"/>
      <c r="BJ40" s="17"/>
      <c r="BK40" s="17"/>
      <c r="BL40" s="17"/>
      <c r="BM40" s="17"/>
      <c r="BN40" s="320">
        <f t="shared" si="27"/>
        <v>0</v>
      </c>
      <c r="BO40" s="320">
        <f t="shared" si="28"/>
        <v>0</v>
      </c>
      <c r="BP40" s="427"/>
      <c r="BQ40" s="427"/>
      <c r="BR40" s="320">
        <f t="shared" si="56"/>
        <v>0</v>
      </c>
      <c r="BS40" s="320">
        <f t="shared" si="56"/>
        <v>0</v>
      </c>
      <c r="BT40" s="427"/>
      <c r="BU40" s="320">
        <f t="shared" si="30"/>
        <v>0</v>
      </c>
      <c r="BV40" s="320">
        <f t="shared" si="31"/>
        <v>0</v>
      </c>
      <c r="BW40" s="320">
        <f t="shared" si="32"/>
        <v>0</v>
      </c>
      <c r="BX40" s="427"/>
      <c r="BY40" s="320">
        <f t="shared" si="33"/>
        <v>0</v>
      </c>
      <c r="BZ40" s="320">
        <f t="shared" si="34"/>
        <v>0</v>
      </c>
      <c r="CA40" s="320">
        <f t="shared" si="35"/>
        <v>0</v>
      </c>
      <c r="CB40" s="320">
        <f t="shared" si="36"/>
        <v>0</v>
      </c>
      <c r="CC40" s="427"/>
      <c r="CD40" s="320">
        <f t="shared" si="37"/>
        <v>0</v>
      </c>
      <c r="CE40" s="320">
        <f t="shared" si="38"/>
        <v>0</v>
      </c>
      <c r="CF40" s="320">
        <f t="shared" si="39"/>
        <v>0</v>
      </c>
      <c r="CG40" s="320">
        <f t="shared" si="40"/>
        <v>0</v>
      </c>
      <c r="CH40" s="427"/>
      <c r="CI40" s="427"/>
      <c r="CJ40" s="427"/>
      <c r="CK40" s="427"/>
      <c r="CL40" s="320">
        <f t="shared" si="53"/>
        <v>0</v>
      </c>
      <c r="CM40" s="320">
        <f t="shared" si="41"/>
        <v>0</v>
      </c>
      <c r="CN40" s="320">
        <f t="shared" si="42"/>
        <v>0</v>
      </c>
      <c r="CO40" s="320">
        <f t="shared" si="43"/>
        <v>0</v>
      </c>
      <c r="CP40" s="427"/>
      <c r="CQ40" s="427"/>
      <c r="CR40" s="320">
        <f t="shared" si="44"/>
        <v>0</v>
      </c>
      <c r="CS40" s="320">
        <f t="shared" si="45"/>
        <v>0</v>
      </c>
      <c r="CT40" s="320">
        <f t="shared" si="58"/>
        <v>0</v>
      </c>
      <c r="CU40" s="320">
        <f t="shared" si="59"/>
        <v>0</v>
      </c>
      <c r="CV40" s="427"/>
      <c r="CW40" s="17"/>
      <c r="CX40" s="320">
        <f t="shared" si="47"/>
        <v>0</v>
      </c>
      <c r="CY40" s="320">
        <f t="shared" si="48"/>
        <v>0</v>
      </c>
      <c r="CZ40" s="320">
        <f t="shared" si="49"/>
        <v>0</v>
      </c>
      <c r="DA40" s="17"/>
      <c r="DB40" s="17"/>
      <c r="DC40" s="17"/>
      <c r="DD40" s="31"/>
      <c r="DE40" s="321"/>
      <c r="DF40" s="321"/>
      <c r="DG40" s="321"/>
      <c r="DH40" s="321"/>
      <c r="DI40" s="321"/>
      <c r="DJ40" s="321"/>
      <c r="DK40" s="321"/>
      <c r="DL40" s="321"/>
      <c r="DM40" s="321"/>
      <c r="DN40" s="321"/>
      <c r="DO40" s="321"/>
      <c r="DP40" s="322"/>
      <c r="DQ40" s="288"/>
      <c r="DR40" s="243"/>
      <c r="DS40" s="429">
        <f t="shared" si="50"/>
        <v>0</v>
      </c>
      <c r="DT40" s="438">
        <f>SUM(BA40:BF40)/5</f>
        <v>0</v>
      </c>
      <c r="DU40" s="59"/>
      <c r="DV40" s="59"/>
      <c r="DW40" s="59"/>
      <c r="DX40" s="59"/>
      <c r="DY40" s="133"/>
      <c r="DZ40" s="134"/>
      <c r="EA40" s="134"/>
      <c r="EB40" s="134"/>
      <c r="EC40" s="134"/>
      <c r="ED40" s="123"/>
      <c r="EG40" s="81"/>
      <c r="EH40" s="44">
        <v>0</v>
      </c>
      <c r="EI40" s="45"/>
      <c r="EJ40" s="33" t="e">
        <f t="shared" si="51"/>
        <v>#VALUE!</v>
      </c>
      <c r="EK40" s="42"/>
      <c r="EL40" s="42"/>
      <c r="EM40" s="42"/>
      <c r="EN40" s="439"/>
      <c r="EO40" s="439"/>
      <c r="EP40" s="439"/>
      <c r="EQ40" s="38"/>
      <c r="ER40" s="440">
        <v>0</v>
      </c>
      <c r="ES40" s="431"/>
      <c r="ET40" s="431">
        <v>1</v>
      </c>
      <c r="EU40" s="431"/>
      <c r="EV40" s="447"/>
      <c r="EZ40" s="393" t="s">
        <v>59</v>
      </c>
      <c r="FA40" s="393" t="s">
        <v>59</v>
      </c>
      <c r="FB40" s="389">
        <v>22560</v>
      </c>
      <c r="FC40" s="389">
        <v>22404</v>
      </c>
      <c r="FD40" s="389">
        <v>22326</v>
      </c>
      <c r="FE40" s="389">
        <v>22248</v>
      </c>
      <c r="FF40" s="389">
        <v>22170</v>
      </c>
      <c r="FG40" s="390">
        <v>-6.9630423138725226E-4</v>
      </c>
      <c r="FH40" s="390">
        <v>-6.9873689868314964E-4</v>
      </c>
      <c r="FI40" s="390">
        <v>-7.0118662351672059E-4</v>
      </c>
      <c r="FJ40" s="391">
        <v>3.505933117583653E-3</v>
      </c>
      <c r="FK40" s="391" t="s">
        <v>1386</v>
      </c>
      <c r="FL40" s="31" t="s">
        <v>1379</v>
      </c>
      <c r="FN40" s="129" t="s">
        <v>1464</v>
      </c>
      <c r="FO40" s="129" t="s">
        <v>1465</v>
      </c>
      <c r="FP40" s="129"/>
    </row>
    <row r="41" spans="1:172" ht="22" hidden="1" customHeight="1" x14ac:dyDescent="0.2">
      <c r="A41" s="13" t="s">
        <v>10</v>
      </c>
      <c r="B41" s="14" t="s">
        <v>14</v>
      </c>
      <c r="C41" s="14"/>
      <c r="D41" s="14"/>
      <c r="E41" s="128" t="s">
        <v>60</v>
      </c>
      <c r="F41" s="15"/>
      <c r="G41" s="15" t="s">
        <v>634</v>
      </c>
      <c r="H41" s="91">
        <f t="shared" si="60"/>
        <v>1</v>
      </c>
      <c r="I41" s="95">
        <f t="shared" si="1"/>
        <v>0</v>
      </c>
      <c r="J41" s="91"/>
      <c r="K41" s="256">
        <f t="shared" si="2"/>
        <v>1</v>
      </c>
      <c r="L41" s="101">
        <v>0</v>
      </c>
      <c r="M41" s="25"/>
      <c r="N41" s="89"/>
      <c r="O41" s="98" t="str">
        <f t="shared" si="3"/>
        <v>_x000D__x000D_</v>
      </c>
      <c r="P41" s="144"/>
      <c r="Q41" s="55"/>
      <c r="R41" s="64" t="s">
        <v>918</v>
      </c>
      <c r="S41" s="425"/>
      <c r="T41" s="300" t="s">
        <v>834</v>
      </c>
      <c r="U41" s="301" t="s">
        <v>834</v>
      </c>
      <c r="V41" s="301" t="s">
        <v>834</v>
      </c>
      <c r="W41" s="258"/>
      <c r="X41" s="307" t="s">
        <v>834</v>
      </c>
      <c r="Y41" s="274"/>
      <c r="Z41" s="426"/>
      <c r="AA41" s="320">
        <f t="shared" si="4"/>
        <v>0</v>
      </c>
      <c r="AB41" s="320">
        <f t="shared" si="5"/>
        <v>0</v>
      </c>
      <c r="AC41" s="320">
        <f t="shared" si="6"/>
        <v>0</v>
      </c>
      <c r="AD41" s="320">
        <f t="shared" si="7"/>
        <v>0</v>
      </c>
      <c r="AE41" s="320">
        <f t="shared" si="8"/>
        <v>0</v>
      </c>
      <c r="AF41" s="320">
        <f t="shared" si="9"/>
        <v>0</v>
      </c>
      <c r="AG41" s="320">
        <f t="shared" si="10"/>
        <v>0</v>
      </c>
      <c r="AH41" s="427"/>
      <c r="AI41" s="320">
        <f t="shared" si="11"/>
        <v>0</v>
      </c>
      <c r="AJ41" s="320">
        <f t="shared" si="12"/>
        <v>0</v>
      </c>
      <c r="AK41" s="320">
        <f t="shared" si="13"/>
        <v>0</v>
      </c>
      <c r="AL41" s="320">
        <f t="shared" si="14"/>
        <v>0</v>
      </c>
      <c r="AM41" s="320">
        <f t="shared" si="15"/>
        <v>0</v>
      </c>
      <c r="AN41" s="320">
        <f t="shared" si="16"/>
        <v>0</v>
      </c>
      <c r="AO41" s="427"/>
      <c r="AP41" s="320">
        <f t="shared" si="17"/>
        <v>0</v>
      </c>
      <c r="AQ41" s="320">
        <f t="shared" si="18"/>
        <v>0</v>
      </c>
      <c r="AR41" s="320">
        <f t="shared" si="19"/>
        <v>0</v>
      </c>
      <c r="AS41" s="320">
        <f t="shared" si="20"/>
        <v>0</v>
      </c>
      <c r="AT41" s="320">
        <f t="shared" si="21"/>
        <v>0</v>
      </c>
      <c r="AU41" s="320">
        <f t="shared" si="22"/>
        <v>0</v>
      </c>
      <c r="AV41" s="427"/>
      <c r="AW41" s="320">
        <f t="shared" si="23"/>
        <v>0</v>
      </c>
      <c r="AX41" s="320">
        <f t="shared" si="24"/>
        <v>0</v>
      </c>
      <c r="AY41" s="320">
        <f t="shared" si="25"/>
        <v>0</v>
      </c>
      <c r="AZ41" s="320">
        <f t="shared" si="26"/>
        <v>0</v>
      </c>
      <c r="BA41" s="17"/>
      <c r="BB41" s="17" t="s">
        <v>834</v>
      </c>
      <c r="BC41" s="17"/>
      <c r="BD41" s="17"/>
      <c r="BE41" s="17"/>
      <c r="BF41" s="17"/>
      <c r="BG41" s="428">
        <f t="shared" si="52"/>
        <v>0</v>
      </c>
      <c r="BH41" s="17"/>
      <c r="BI41" s="17"/>
      <c r="BJ41" s="17"/>
      <c r="BK41" s="17"/>
      <c r="BL41" s="17"/>
      <c r="BM41" s="17"/>
      <c r="BN41" s="320">
        <f t="shared" si="27"/>
        <v>0</v>
      </c>
      <c r="BO41" s="320">
        <f t="shared" si="28"/>
        <v>0</v>
      </c>
      <c r="BP41" s="427"/>
      <c r="BQ41" s="427"/>
      <c r="BR41" s="320">
        <f t="shared" si="56"/>
        <v>0</v>
      </c>
      <c r="BS41" s="320">
        <f t="shared" si="56"/>
        <v>0</v>
      </c>
      <c r="BT41" s="427"/>
      <c r="BU41" s="320">
        <f t="shared" si="30"/>
        <v>0</v>
      </c>
      <c r="BV41" s="320">
        <f t="shared" si="31"/>
        <v>0</v>
      </c>
      <c r="BW41" s="320">
        <f t="shared" si="32"/>
        <v>0</v>
      </c>
      <c r="BX41" s="427"/>
      <c r="BY41" s="320">
        <f t="shared" si="33"/>
        <v>0</v>
      </c>
      <c r="BZ41" s="320">
        <f t="shared" si="34"/>
        <v>0</v>
      </c>
      <c r="CA41" s="320">
        <f t="shared" si="35"/>
        <v>0</v>
      </c>
      <c r="CB41" s="320">
        <f t="shared" si="36"/>
        <v>0</v>
      </c>
      <c r="CC41" s="427"/>
      <c r="CD41" s="320">
        <f t="shared" si="37"/>
        <v>0</v>
      </c>
      <c r="CE41" s="320">
        <f t="shared" si="38"/>
        <v>0</v>
      </c>
      <c r="CF41" s="320">
        <f t="shared" si="39"/>
        <v>0</v>
      </c>
      <c r="CG41" s="320">
        <f t="shared" si="40"/>
        <v>0</v>
      </c>
      <c r="CH41" s="427"/>
      <c r="CI41" s="427"/>
      <c r="CJ41" s="427"/>
      <c r="CK41" s="427"/>
      <c r="CL41" s="320">
        <f t="shared" si="53"/>
        <v>0</v>
      </c>
      <c r="CM41" s="320">
        <f t="shared" si="41"/>
        <v>0</v>
      </c>
      <c r="CN41" s="320">
        <f t="shared" si="42"/>
        <v>0</v>
      </c>
      <c r="CO41" s="320">
        <f t="shared" si="43"/>
        <v>0</v>
      </c>
      <c r="CP41" s="427"/>
      <c r="CQ41" s="427"/>
      <c r="CR41" s="320">
        <f t="shared" si="44"/>
        <v>0</v>
      </c>
      <c r="CS41" s="320">
        <f t="shared" si="45"/>
        <v>0</v>
      </c>
      <c r="CT41" s="320">
        <f t="shared" si="58"/>
        <v>0</v>
      </c>
      <c r="CU41" s="320">
        <f t="shared" si="59"/>
        <v>0</v>
      </c>
      <c r="CV41" s="427"/>
      <c r="CW41" s="17"/>
      <c r="CX41" s="320">
        <f t="shared" si="47"/>
        <v>0</v>
      </c>
      <c r="CY41" s="320">
        <f t="shared" si="48"/>
        <v>0</v>
      </c>
      <c r="CZ41" s="320">
        <f t="shared" si="49"/>
        <v>0</v>
      </c>
      <c r="DA41" s="17"/>
      <c r="DB41" s="17"/>
      <c r="DC41" s="17"/>
      <c r="DD41" s="31"/>
      <c r="DE41" s="323"/>
      <c r="DF41" s="323"/>
      <c r="DG41" s="323"/>
      <c r="DH41" s="323"/>
      <c r="DI41" s="323"/>
      <c r="DJ41" s="323"/>
      <c r="DK41" s="323"/>
      <c r="DL41" s="323"/>
      <c r="DM41" s="323"/>
      <c r="DN41" s="323"/>
      <c r="DO41" s="323"/>
      <c r="DP41" s="324"/>
      <c r="DQ41" s="385"/>
      <c r="DR41" s="242"/>
      <c r="DS41" s="429">
        <f t="shared" si="50"/>
        <v>0</v>
      </c>
      <c r="DT41" s="438"/>
      <c r="DU41" s="59"/>
      <c r="DV41" s="59"/>
      <c r="DW41" s="59"/>
      <c r="DX41" s="59"/>
      <c r="DY41" s="59"/>
      <c r="DZ41" s="134"/>
      <c r="EA41" s="134"/>
      <c r="EB41" s="134"/>
      <c r="EC41" s="134"/>
      <c r="ED41" s="123"/>
      <c r="EG41" s="81"/>
      <c r="EH41" s="46">
        <v>0</v>
      </c>
      <c r="EI41" s="45"/>
      <c r="EJ41" s="33" t="b">
        <f t="shared" si="51"/>
        <v>0</v>
      </c>
      <c r="EK41" s="42"/>
      <c r="EL41" s="42"/>
      <c r="EM41" s="42"/>
      <c r="EN41" s="439"/>
      <c r="EO41" s="439"/>
      <c r="EP41" s="439"/>
      <c r="EQ41" s="47"/>
      <c r="ER41" s="440">
        <v>1</v>
      </c>
      <c r="ES41" s="431"/>
      <c r="ET41" s="431">
        <v>1</v>
      </c>
      <c r="EU41" s="431"/>
      <c r="EV41" s="447"/>
      <c r="EZ41" s="393" t="s">
        <v>60</v>
      </c>
      <c r="FA41" s="393" t="s">
        <v>60</v>
      </c>
      <c r="FB41" s="389">
        <v>6705</v>
      </c>
      <c r="FC41" s="389">
        <v>6326</v>
      </c>
      <c r="FD41" s="389">
        <v>6141</v>
      </c>
      <c r="FE41" s="389">
        <v>5508</v>
      </c>
      <c r="FF41" s="389">
        <v>4875</v>
      </c>
      <c r="FG41" s="390">
        <v>-5.8488776478027183E-3</v>
      </c>
      <c r="FH41" s="390">
        <v>-2.0615534929164632E-2</v>
      </c>
      <c r="FI41" s="390">
        <v>-2.298474945533769E-2</v>
      </c>
      <c r="FJ41" s="391">
        <v>0.11492374727668837</v>
      </c>
      <c r="FK41" s="391" t="s">
        <v>1386</v>
      </c>
      <c r="FL41" s="31" t="s">
        <v>1379</v>
      </c>
      <c r="FN41" s="128" t="s">
        <v>1466</v>
      </c>
      <c r="FO41" s="128" t="s">
        <v>1467</v>
      </c>
      <c r="FP41" s="128"/>
    </row>
    <row r="42" spans="1:172" ht="22" hidden="1" customHeight="1" x14ac:dyDescent="0.2">
      <c r="A42" s="16" t="s">
        <v>16</v>
      </c>
      <c r="B42" s="145" t="s">
        <v>19</v>
      </c>
      <c r="C42" s="19"/>
      <c r="D42" s="19"/>
      <c r="E42" s="128" t="s">
        <v>61</v>
      </c>
      <c r="F42" s="15" t="s">
        <v>637</v>
      </c>
      <c r="G42" s="15" t="s">
        <v>634</v>
      </c>
      <c r="H42" s="91">
        <f t="shared" si="60"/>
        <v>1</v>
      </c>
      <c r="I42" s="95">
        <f t="shared" si="1"/>
        <v>2</v>
      </c>
      <c r="J42" s="91">
        <v>2</v>
      </c>
      <c r="K42" s="256">
        <f t="shared" si="2"/>
        <v>5</v>
      </c>
      <c r="L42" s="101" t="s">
        <v>679</v>
      </c>
      <c r="M42" s="99">
        <v>1</v>
      </c>
      <c r="N42" s="26">
        <v>500000</v>
      </c>
      <c r="O42" s="98" t="str">
        <f t="shared" si="3"/>
        <v>development and recovery of 100,000 hectares of forest land_x000D__x000D_Greenhouse gas sequestration and reduction of 600 000 TCo2 by 2030</v>
      </c>
      <c r="P42" s="144" t="str">
        <f>CONCATENATE(V42,R42,X42)</f>
        <v>_x000D__x000D_</v>
      </c>
      <c r="Q42" s="55" t="s">
        <v>512</v>
      </c>
      <c r="R42" s="64" t="s">
        <v>918</v>
      </c>
      <c r="S42" s="446" t="s">
        <v>511</v>
      </c>
      <c r="T42" s="300" t="s">
        <v>925</v>
      </c>
      <c r="U42" s="300" t="s">
        <v>925</v>
      </c>
      <c r="V42" s="372"/>
      <c r="W42" s="258"/>
      <c r="X42" s="307"/>
      <c r="Y42" s="274"/>
      <c r="Z42" s="426" t="s">
        <v>221</v>
      </c>
      <c r="AA42" s="320">
        <f t="shared" si="4"/>
        <v>1</v>
      </c>
      <c r="AB42" s="320">
        <f t="shared" si="5"/>
        <v>1</v>
      </c>
      <c r="AC42" s="320">
        <f t="shared" si="6"/>
        <v>0</v>
      </c>
      <c r="AD42" s="320">
        <f t="shared" si="7"/>
        <v>0</v>
      </c>
      <c r="AE42" s="320">
        <f t="shared" si="8"/>
        <v>0</v>
      </c>
      <c r="AF42" s="320">
        <f t="shared" si="9"/>
        <v>0</v>
      </c>
      <c r="AG42" s="320">
        <f t="shared" si="10"/>
        <v>1</v>
      </c>
      <c r="AH42" s="427" t="s">
        <v>226</v>
      </c>
      <c r="AI42" s="320">
        <f t="shared" si="11"/>
        <v>1</v>
      </c>
      <c r="AJ42" s="320">
        <f t="shared" si="12"/>
        <v>0</v>
      </c>
      <c r="AK42" s="320">
        <f t="shared" si="13"/>
        <v>1</v>
      </c>
      <c r="AL42" s="320">
        <f t="shared" si="14"/>
        <v>0</v>
      </c>
      <c r="AM42" s="320">
        <f t="shared" si="15"/>
        <v>1</v>
      </c>
      <c r="AN42" s="320">
        <f t="shared" si="16"/>
        <v>0</v>
      </c>
      <c r="AO42" s="427" t="s">
        <v>232</v>
      </c>
      <c r="AP42" s="320">
        <f t="shared" si="17"/>
        <v>1</v>
      </c>
      <c r="AQ42" s="320">
        <f t="shared" si="18"/>
        <v>1</v>
      </c>
      <c r="AR42" s="320">
        <f t="shared" si="19"/>
        <v>1</v>
      </c>
      <c r="AS42" s="320">
        <f t="shared" si="20"/>
        <v>1</v>
      </c>
      <c r="AT42" s="320">
        <f t="shared" si="21"/>
        <v>1</v>
      </c>
      <c r="AU42" s="320">
        <f t="shared" si="22"/>
        <v>1</v>
      </c>
      <c r="AV42" s="427">
        <v>1</v>
      </c>
      <c r="AW42" s="320">
        <f t="shared" si="23"/>
        <v>1</v>
      </c>
      <c r="AX42" s="320">
        <f t="shared" si="24"/>
        <v>0</v>
      </c>
      <c r="AY42" s="320">
        <f t="shared" si="25"/>
        <v>0</v>
      </c>
      <c r="AZ42" s="320">
        <f t="shared" si="26"/>
        <v>0</v>
      </c>
      <c r="BA42" s="17">
        <v>0</v>
      </c>
      <c r="BB42" s="17" t="s">
        <v>834</v>
      </c>
      <c r="BC42" s="17">
        <v>0</v>
      </c>
      <c r="BD42" s="17">
        <v>0</v>
      </c>
      <c r="BE42" s="17">
        <v>0</v>
      </c>
      <c r="BF42" s="17">
        <v>0</v>
      </c>
      <c r="BG42" s="428">
        <f t="shared" si="52"/>
        <v>0</v>
      </c>
      <c r="BH42" s="17"/>
      <c r="BI42" s="17">
        <v>0</v>
      </c>
      <c r="BJ42" s="17" t="s">
        <v>834</v>
      </c>
      <c r="BK42" s="17"/>
      <c r="BL42" s="17">
        <v>0</v>
      </c>
      <c r="BM42" s="17" t="s">
        <v>834</v>
      </c>
      <c r="BN42" s="320">
        <f t="shared" si="27"/>
        <v>0</v>
      </c>
      <c r="BO42" s="320">
        <f t="shared" si="28"/>
        <v>0</v>
      </c>
      <c r="BP42" s="427">
        <v>0</v>
      </c>
      <c r="BQ42" s="427" t="s">
        <v>834</v>
      </c>
      <c r="BR42" s="320">
        <f t="shared" si="56"/>
        <v>0</v>
      </c>
      <c r="BS42" s="320">
        <f t="shared" si="56"/>
        <v>0</v>
      </c>
      <c r="BT42" s="427">
        <v>0</v>
      </c>
      <c r="BU42" s="320">
        <f t="shared" si="30"/>
        <v>0</v>
      </c>
      <c r="BV42" s="320">
        <f t="shared" si="31"/>
        <v>0</v>
      </c>
      <c r="BW42" s="320">
        <f t="shared" si="32"/>
        <v>0</v>
      </c>
      <c r="BX42" s="427" t="s">
        <v>243</v>
      </c>
      <c r="BY42" s="320">
        <f t="shared" si="33"/>
        <v>1</v>
      </c>
      <c r="BZ42" s="320">
        <f t="shared" si="34"/>
        <v>0</v>
      </c>
      <c r="CA42" s="320">
        <f t="shared" si="35"/>
        <v>1</v>
      </c>
      <c r="CB42" s="320">
        <f t="shared" si="36"/>
        <v>0</v>
      </c>
      <c r="CC42" s="427" t="s">
        <v>228</v>
      </c>
      <c r="CD42" s="320">
        <f t="shared" si="37"/>
        <v>1</v>
      </c>
      <c r="CE42" s="320">
        <f t="shared" si="38"/>
        <v>1</v>
      </c>
      <c r="CF42" s="320">
        <f t="shared" si="39"/>
        <v>0</v>
      </c>
      <c r="CG42" s="320">
        <f t="shared" si="40"/>
        <v>0</v>
      </c>
      <c r="CH42" s="427">
        <v>0</v>
      </c>
      <c r="CI42" s="427">
        <v>0</v>
      </c>
      <c r="CJ42" s="427">
        <v>0</v>
      </c>
      <c r="CK42" s="427" t="s">
        <v>221</v>
      </c>
      <c r="CL42" s="320">
        <f t="shared" si="53"/>
        <v>1</v>
      </c>
      <c r="CM42" s="320">
        <f t="shared" si="41"/>
        <v>0</v>
      </c>
      <c r="CN42" s="320">
        <f t="shared" si="42"/>
        <v>0</v>
      </c>
      <c r="CO42" s="320">
        <f t="shared" si="43"/>
        <v>1</v>
      </c>
      <c r="CP42" s="427">
        <v>0</v>
      </c>
      <c r="CQ42" s="427">
        <v>1</v>
      </c>
      <c r="CR42" s="320">
        <f t="shared" si="44"/>
        <v>1</v>
      </c>
      <c r="CS42" s="320">
        <f t="shared" si="45"/>
        <v>0</v>
      </c>
      <c r="CT42" s="320">
        <f t="shared" si="58"/>
        <v>0</v>
      </c>
      <c r="CU42" s="320">
        <f t="shared" si="59"/>
        <v>0</v>
      </c>
      <c r="CV42" s="427">
        <v>1</v>
      </c>
      <c r="CW42" s="17">
        <v>0</v>
      </c>
      <c r="CX42" s="320">
        <f t="shared" si="47"/>
        <v>0</v>
      </c>
      <c r="CY42" s="320">
        <f t="shared" si="48"/>
        <v>0</v>
      </c>
      <c r="CZ42" s="320">
        <f t="shared" si="49"/>
        <v>0</v>
      </c>
      <c r="DA42" s="17">
        <v>0</v>
      </c>
      <c r="DB42" s="17">
        <v>0</v>
      </c>
      <c r="DC42" s="17">
        <v>1</v>
      </c>
      <c r="DD42" s="31"/>
      <c r="DE42" s="326" t="s">
        <v>387</v>
      </c>
      <c r="DF42" s="326" t="s">
        <v>388</v>
      </c>
      <c r="DG42" s="326" t="s">
        <v>388</v>
      </c>
      <c r="DH42" s="326" t="s">
        <v>392</v>
      </c>
      <c r="DI42" s="321"/>
      <c r="DJ42" s="326" t="s">
        <v>413</v>
      </c>
      <c r="DK42" s="326" t="s">
        <v>388</v>
      </c>
      <c r="DL42" s="326" t="s">
        <v>435</v>
      </c>
      <c r="DM42" s="326" t="s">
        <v>388</v>
      </c>
      <c r="DN42" s="326" t="s">
        <v>388</v>
      </c>
      <c r="DO42" s="326" t="s">
        <v>388</v>
      </c>
      <c r="DP42" s="322"/>
      <c r="DQ42" s="386"/>
      <c r="DR42" s="240">
        <f>SUM(DS42:DX42)/6</f>
        <v>0.22846215780998388</v>
      </c>
      <c r="DS42" s="429">
        <f t="shared" si="50"/>
        <v>0.56521739130434778</v>
      </c>
      <c r="DT42" s="429">
        <f>SUM(BA42:BE42,BG42)/5</f>
        <v>0</v>
      </c>
      <c r="DU42" s="429">
        <f>SUM(BI42,BO42,BS42,BU42:BW42)/6</f>
        <v>0</v>
      </c>
      <c r="DV42" s="429">
        <f>SUM(BY42-CB42,CD42-CG42)/8</f>
        <v>0.25</v>
      </c>
      <c r="DW42" s="429">
        <f>SUM(CH42:CJ42,CL42:CO42,BN42,BR42)/9</f>
        <v>0.22222222222222221</v>
      </c>
      <c r="DX42" s="429">
        <f>SUM(CP42,CR42:CV42)/6</f>
        <v>0.33333333333333331</v>
      </c>
      <c r="DY42" s="444"/>
      <c r="DZ42" s="140" t="s">
        <v>688</v>
      </c>
      <c r="EA42" s="140" t="s">
        <v>689</v>
      </c>
      <c r="EB42" s="140" t="s">
        <v>809</v>
      </c>
      <c r="EC42" s="139" t="s">
        <v>805</v>
      </c>
      <c r="ED42" s="123">
        <v>3</v>
      </c>
      <c r="EG42" s="81"/>
      <c r="EH42" s="44"/>
      <c r="EI42" s="45"/>
      <c r="EJ42" s="33" t="e">
        <f t="shared" si="51"/>
        <v>#VALUE!</v>
      </c>
      <c r="EK42" s="42"/>
      <c r="EL42" s="42"/>
      <c r="EM42" s="42"/>
      <c r="EN42" s="439"/>
      <c r="EO42" s="439"/>
      <c r="EP42" s="439"/>
      <c r="EQ42" s="38"/>
      <c r="ER42" s="440">
        <v>1</v>
      </c>
      <c r="ES42" s="431">
        <v>0</v>
      </c>
      <c r="ET42" s="431">
        <v>0</v>
      </c>
      <c r="EU42" s="431">
        <v>0</v>
      </c>
      <c r="EV42" s="447" t="s">
        <v>386</v>
      </c>
      <c r="EZ42" s="393" t="s">
        <v>61</v>
      </c>
      <c r="FA42" s="393" t="s">
        <v>61</v>
      </c>
      <c r="FB42" s="389">
        <v>15263</v>
      </c>
      <c r="FC42" s="389">
        <v>15834</v>
      </c>
      <c r="FD42" s="389">
        <v>16042</v>
      </c>
      <c r="FE42" s="389">
        <v>16231</v>
      </c>
      <c r="FF42" s="389">
        <v>17735</v>
      </c>
      <c r="FG42" s="390">
        <v>2.6272577996715929E-3</v>
      </c>
      <c r="FH42" s="390">
        <v>2.3563146739808004E-3</v>
      </c>
      <c r="FI42" s="390">
        <v>1.8532437927422832E-2</v>
      </c>
      <c r="FJ42" s="391" t="s">
        <v>1389</v>
      </c>
      <c r="FK42" s="391">
        <v>6.8650097680348434</v>
      </c>
      <c r="FL42" s="31" t="s">
        <v>1396</v>
      </c>
      <c r="FN42" s="128" t="s">
        <v>1468</v>
      </c>
      <c r="FO42" s="128" t="s">
        <v>1469</v>
      </c>
      <c r="FP42" s="128"/>
    </row>
    <row r="43" spans="1:172" ht="22" hidden="1" customHeight="1" x14ac:dyDescent="0.2">
      <c r="A43" s="13" t="s">
        <v>4</v>
      </c>
      <c r="B43" s="21" t="s">
        <v>62</v>
      </c>
      <c r="C43" s="14"/>
      <c r="D43" s="14" t="s">
        <v>1068</v>
      </c>
      <c r="E43" s="128" t="s">
        <v>63</v>
      </c>
      <c r="F43" s="15" t="s">
        <v>638</v>
      </c>
      <c r="G43" s="15" t="s">
        <v>634</v>
      </c>
      <c r="H43" s="91">
        <f t="shared" si="60"/>
        <v>1</v>
      </c>
      <c r="I43" s="95">
        <f t="shared" si="1"/>
        <v>0</v>
      </c>
      <c r="J43" s="91">
        <v>2</v>
      </c>
      <c r="K43" s="256">
        <f t="shared" si="2"/>
        <v>3</v>
      </c>
      <c r="L43" s="101">
        <v>0</v>
      </c>
      <c r="M43" s="99"/>
      <c r="N43" s="89"/>
      <c r="O43" s="98" t="str">
        <f t="shared" si="3"/>
        <v>40 million ha increase in forest cover by 2030 as compared to 2005_x000D__x000D_1.3 billion cubic meter increase in forest stock volume as compared to 2005</v>
      </c>
      <c r="P43" s="144" t="str">
        <f>CONCATENATE(V43,R43,X43)</f>
        <v xml:space="preserve"> _x000D__x000D_China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v>
      </c>
      <c r="Q43" s="55" t="s">
        <v>513</v>
      </c>
      <c r="R43" s="64" t="s">
        <v>918</v>
      </c>
      <c r="S43" s="446" t="s">
        <v>514</v>
      </c>
      <c r="T43" s="300" t="s">
        <v>994</v>
      </c>
      <c r="U43" s="300" t="s">
        <v>891</v>
      </c>
      <c r="V43" s="301" t="s">
        <v>924</v>
      </c>
      <c r="W43" s="258" t="s">
        <v>1011</v>
      </c>
      <c r="X43" s="311" t="s">
        <v>1011</v>
      </c>
      <c r="Y43" s="290"/>
      <c r="Z43" s="426" t="s">
        <v>224</v>
      </c>
      <c r="AA43" s="320">
        <f t="shared" si="4"/>
        <v>1</v>
      </c>
      <c r="AB43" s="320">
        <f t="shared" si="5"/>
        <v>0</v>
      </c>
      <c r="AC43" s="320">
        <f t="shared" si="6"/>
        <v>1</v>
      </c>
      <c r="AD43" s="320">
        <f t="shared" si="7"/>
        <v>0</v>
      </c>
      <c r="AE43" s="320">
        <f t="shared" si="8"/>
        <v>1</v>
      </c>
      <c r="AF43" s="320">
        <f t="shared" si="9"/>
        <v>0</v>
      </c>
      <c r="AG43" s="320">
        <f t="shared" si="10"/>
        <v>0</v>
      </c>
      <c r="AH43" s="427" t="s">
        <v>224</v>
      </c>
      <c r="AI43" s="320">
        <f t="shared" si="11"/>
        <v>1</v>
      </c>
      <c r="AJ43" s="320">
        <f t="shared" si="12"/>
        <v>0</v>
      </c>
      <c r="AK43" s="320">
        <f t="shared" si="13"/>
        <v>1</v>
      </c>
      <c r="AL43" s="320">
        <f t="shared" si="14"/>
        <v>0</v>
      </c>
      <c r="AM43" s="320">
        <f t="shared" si="15"/>
        <v>1</v>
      </c>
      <c r="AN43" s="320">
        <f t="shared" si="16"/>
        <v>0</v>
      </c>
      <c r="AO43" s="427">
        <v>3</v>
      </c>
      <c r="AP43" s="320">
        <f t="shared" si="17"/>
        <v>0</v>
      </c>
      <c r="AQ43" s="320">
        <f t="shared" si="18"/>
        <v>0</v>
      </c>
      <c r="AR43" s="320">
        <f t="shared" si="19"/>
        <v>0</v>
      </c>
      <c r="AS43" s="320">
        <f t="shared" si="20"/>
        <v>0</v>
      </c>
      <c r="AT43" s="320">
        <f t="shared" si="21"/>
        <v>1</v>
      </c>
      <c r="AU43" s="320">
        <f t="shared" si="22"/>
        <v>0</v>
      </c>
      <c r="AV43" s="427">
        <v>2</v>
      </c>
      <c r="AW43" s="320">
        <f t="shared" si="23"/>
        <v>0</v>
      </c>
      <c r="AX43" s="320">
        <f t="shared" si="24"/>
        <v>1</v>
      </c>
      <c r="AY43" s="320">
        <f t="shared" si="25"/>
        <v>0</v>
      </c>
      <c r="AZ43" s="320">
        <f t="shared" si="26"/>
        <v>0</v>
      </c>
      <c r="BA43" s="17">
        <v>1</v>
      </c>
      <c r="BB43" s="17" t="s">
        <v>1272</v>
      </c>
      <c r="BC43" s="17">
        <v>0</v>
      </c>
      <c r="BD43" s="17">
        <v>1</v>
      </c>
      <c r="BE43" s="17">
        <v>1</v>
      </c>
      <c r="BF43" s="17" t="s">
        <v>360</v>
      </c>
      <c r="BG43" s="428">
        <f t="shared" si="52"/>
        <v>1</v>
      </c>
      <c r="BH43" s="17">
        <v>1</v>
      </c>
      <c r="BI43" s="17">
        <v>1</v>
      </c>
      <c r="BJ43" s="17" t="s">
        <v>891</v>
      </c>
      <c r="BK43" s="17"/>
      <c r="BL43" s="17">
        <v>1</v>
      </c>
      <c r="BM43" s="17" t="s">
        <v>1210</v>
      </c>
      <c r="BN43" s="320">
        <f t="shared" si="27"/>
        <v>1</v>
      </c>
      <c r="BO43" s="320">
        <f t="shared" si="28"/>
        <v>0</v>
      </c>
      <c r="BP43" s="427">
        <v>0</v>
      </c>
      <c r="BQ43" s="427" t="s">
        <v>1211</v>
      </c>
      <c r="BR43" s="320">
        <f t="shared" si="56"/>
        <v>0</v>
      </c>
      <c r="BS43" s="320">
        <f>IF(ISNUMBER(SEARCH("t",$BP43)),1,0)</f>
        <v>0</v>
      </c>
      <c r="BT43" s="427">
        <v>1</v>
      </c>
      <c r="BU43" s="320">
        <f t="shared" si="30"/>
        <v>1</v>
      </c>
      <c r="BV43" s="320">
        <f t="shared" si="31"/>
        <v>0</v>
      </c>
      <c r="BW43" s="320">
        <f t="shared" si="32"/>
        <v>0</v>
      </c>
      <c r="BX43" s="427" t="s">
        <v>317</v>
      </c>
      <c r="BY43" s="320">
        <f t="shared" si="33"/>
        <v>1</v>
      </c>
      <c r="BZ43" s="320">
        <f t="shared" si="34"/>
        <v>1</v>
      </c>
      <c r="CA43" s="320">
        <f t="shared" si="35"/>
        <v>0</v>
      </c>
      <c r="CB43" s="320">
        <f t="shared" si="36"/>
        <v>0</v>
      </c>
      <c r="CC43" s="427">
        <v>0</v>
      </c>
      <c r="CD43" s="320">
        <f t="shared" si="37"/>
        <v>0</v>
      </c>
      <c r="CE43" s="320">
        <f t="shared" si="38"/>
        <v>0</v>
      </c>
      <c r="CF43" s="320">
        <f t="shared" si="39"/>
        <v>0</v>
      </c>
      <c r="CG43" s="320">
        <f t="shared" si="40"/>
        <v>0</v>
      </c>
      <c r="CH43" s="427">
        <v>0</v>
      </c>
      <c r="CI43" s="427">
        <v>0</v>
      </c>
      <c r="CJ43" s="427">
        <v>0</v>
      </c>
      <c r="CK43" s="427">
        <v>3</v>
      </c>
      <c r="CL43" s="320">
        <f t="shared" si="53"/>
        <v>0</v>
      </c>
      <c r="CM43" s="320">
        <f t="shared" si="41"/>
        <v>0</v>
      </c>
      <c r="CN43" s="320">
        <f t="shared" si="42"/>
        <v>1</v>
      </c>
      <c r="CO43" s="320">
        <f t="shared" si="43"/>
        <v>0</v>
      </c>
      <c r="CP43" s="427">
        <v>0</v>
      </c>
      <c r="CQ43" s="427">
        <v>1</v>
      </c>
      <c r="CR43" s="320">
        <f t="shared" si="44"/>
        <v>1</v>
      </c>
      <c r="CS43" s="320">
        <f t="shared" si="45"/>
        <v>0</v>
      </c>
      <c r="CT43" s="320">
        <f t="shared" si="58"/>
        <v>0</v>
      </c>
      <c r="CU43" s="320">
        <f t="shared" si="59"/>
        <v>0</v>
      </c>
      <c r="CV43" s="427">
        <v>1</v>
      </c>
      <c r="CW43" s="17">
        <v>1</v>
      </c>
      <c r="CX43" s="320">
        <f t="shared" si="47"/>
        <v>1</v>
      </c>
      <c r="CY43" s="320">
        <f t="shared" si="48"/>
        <v>0</v>
      </c>
      <c r="CZ43" s="320">
        <f t="shared" si="49"/>
        <v>0</v>
      </c>
      <c r="DA43" s="17">
        <v>1</v>
      </c>
      <c r="DB43" s="17">
        <v>0</v>
      </c>
      <c r="DC43" s="17">
        <v>0</v>
      </c>
      <c r="DD43" s="31"/>
      <c r="DE43" s="323" t="s">
        <v>392</v>
      </c>
      <c r="DF43" s="323" t="s">
        <v>436</v>
      </c>
      <c r="DG43" s="323"/>
      <c r="DH43" s="323"/>
      <c r="DI43" s="323"/>
      <c r="DJ43" s="323"/>
      <c r="DK43" s="323" t="s">
        <v>424</v>
      </c>
      <c r="DL43" s="323" t="s">
        <v>424</v>
      </c>
      <c r="DM43" s="323"/>
      <c r="DN43" s="323"/>
      <c r="DO43" s="323"/>
      <c r="DP43" s="324" t="s">
        <v>437</v>
      </c>
      <c r="DQ43" s="382"/>
      <c r="DR43" s="240">
        <f>SUM(DS43:DX43)/6</f>
        <v>0.36028582930756842</v>
      </c>
      <c r="DS43" s="429">
        <f t="shared" si="50"/>
        <v>0.34782608695652173</v>
      </c>
      <c r="DT43" s="429">
        <f>SUM(BA43:BE43,BG43)/5</f>
        <v>0.8</v>
      </c>
      <c r="DU43" s="429">
        <f>SUM(BI43,BO43,BS43,BU43:BW43)/6</f>
        <v>0.33333333333333331</v>
      </c>
      <c r="DV43" s="429">
        <f>SUM(BY43-CB43,CD43-CG43)/8</f>
        <v>0.125</v>
      </c>
      <c r="DW43" s="429">
        <f>SUM(CH43:CJ43,CL43:CO43,BN43,BR43)/9</f>
        <v>0.22222222222222221</v>
      </c>
      <c r="DX43" s="429">
        <f>SUM(CP43,CR43:CV43)/6</f>
        <v>0.33333333333333331</v>
      </c>
      <c r="DY43" s="444"/>
      <c r="DZ43" s="137" t="s">
        <v>726</v>
      </c>
      <c r="EA43" s="135"/>
      <c r="EB43" s="135" t="s">
        <v>750</v>
      </c>
      <c r="EC43" s="139" t="s">
        <v>767</v>
      </c>
      <c r="ED43" s="124">
        <v>1</v>
      </c>
      <c r="EG43" s="81"/>
      <c r="EH43" s="44"/>
      <c r="EI43" s="45"/>
      <c r="EJ43" s="33" t="b">
        <f t="shared" si="51"/>
        <v>0</v>
      </c>
      <c r="EK43" s="42"/>
      <c r="EL43" s="42"/>
      <c r="EM43" s="42"/>
      <c r="EN43" s="439"/>
      <c r="EO43" s="439"/>
      <c r="EP43" s="439"/>
      <c r="EQ43" s="38"/>
      <c r="ER43" s="440"/>
      <c r="ES43" s="431"/>
      <c r="ET43" s="431"/>
      <c r="EU43" s="431"/>
      <c r="EV43" s="447"/>
      <c r="EZ43" s="393" t="s">
        <v>63</v>
      </c>
      <c r="FA43" s="393" t="s">
        <v>63</v>
      </c>
      <c r="FB43" s="389">
        <v>157140.6</v>
      </c>
      <c r="FC43" s="389">
        <v>177000.5</v>
      </c>
      <c r="FD43" s="389">
        <v>193043.9</v>
      </c>
      <c r="FE43" s="389">
        <v>200610.3</v>
      </c>
      <c r="FF43" s="389">
        <v>208321.3</v>
      </c>
      <c r="FG43" s="390">
        <v>1.8128084383942412E-2</v>
      </c>
      <c r="FH43" s="390">
        <v>7.8390459372194559E-3</v>
      </c>
      <c r="FI43" s="390">
        <v>7.6875414672128006E-3</v>
      </c>
      <c r="FJ43" s="391" t="s">
        <v>1389</v>
      </c>
      <c r="FK43" s="391">
        <v>-1.9326901668903173E-2</v>
      </c>
      <c r="FL43" s="31" t="s">
        <v>1394</v>
      </c>
      <c r="FN43" s="128" t="s">
        <v>1470</v>
      </c>
      <c r="FO43" s="128" t="s">
        <v>1471</v>
      </c>
      <c r="FP43" s="128"/>
    </row>
    <row r="44" spans="1:172" ht="22" hidden="1" customHeight="1" x14ac:dyDescent="0.2">
      <c r="A44" s="13" t="s">
        <v>16</v>
      </c>
      <c r="B44" s="19" t="s">
        <v>19</v>
      </c>
      <c r="C44" s="19"/>
      <c r="D44" s="19"/>
      <c r="E44" s="127" t="s">
        <v>64</v>
      </c>
      <c r="F44" s="15" t="s">
        <v>637</v>
      </c>
      <c r="G44" s="15" t="s">
        <v>635</v>
      </c>
      <c r="H44" s="91">
        <f t="shared" si="60"/>
        <v>0</v>
      </c>
      <c r="I44" s="95">
        <f t="shared" si="1"/>
        <v>2</v>
      </c>
      <c r="J44" s="91"/>
      <c r="K44" s="256">
        <f t="shared" si="2"/>
        <v>2</v>
      </c>
      <c r="L44" s="101" t="s">
        <v>680</v>
      </c>
      <c r="M44" s="99">
        <v>1</v>
      </c>
      <c r="N44" s="26">
        <v>1000000</v>
      </c>
      <c r="O44" s="98" t="str">
        <f t="shared" si="3"/>
        <v>_x000D__x000D_</v>
      </c>
      <c r="P44" s="144" t="str">
        <f>CONCATENATE(V44,R44,X44)</f>
        <v>Colombia’s mitigation target seeks to achieve a per capita emissions level of nearly 4.6 Ton CO2eq/capita by 2030. Given the significant share of AFOLU emissions in the national emissions profile (about 58% of the total), Colombia reaffirms its commitment to reduce deforestation in the country and to preserve important ecosystems such as the Amazon region, given its huge potential to contribute to the stabilization of greenhouse gases in the atmosphere._x000D__x000D_Increase of more than 2.5 million hectares in coverage of newly protected areas in the National System of Protected Areas -SINAP-, in coordination with local and regional stakeholders.</v>
      </c>
      <c r="Q44" s="55"/>
      <c r="R44" s="64" t="s">
        <v>918</v>
      </c>
      <c r="S44" s="425"/>
      <c r="T44" s="300" t="s">
        <v>940</v>
      </c>
      <c r="U44" s="300" t="s">
        <v>1018</v>
      </c>
      <c r="V44" s="301" t="s">
        <v>438</v>
      </c>
      <c r="W44" s="258" t="s">
        <v>441</v>
      </c>
      <c r="X44" s="307" t="s">
        <v>957</v>
      </c>
      <c r="Y44" s="274"/>
      <c r="Z44" s="426">
        <v>0</v>
      </c>
      <c r="AA44" s="320">
        <f t="shared" si="4"/>
        <v>0</v>
      </c>
      <c r="AB44" s="320">
        <f t="shared" si="5"/>
        <v>0</v>
      </c>
      <c r="AC44" s="320">
        <f t="shared" si="6"/>
        <v>0</v>
      </c>
      <c r="AD44" s="320">
        <f t="shared" si="7"/>
        <v>0</v>
      </c>
      <c r="AE44" s="320">
        <f t="shared" si="8"/>
        <v>0</v>
      </c>
      <c r="AF44" s="320">
        <f t="shared" si="9"/>
        <v>0</v>
      </c>
      <c r="AG44" s="320">
        <f t="shared" si="10"/>
        <v>0</v>
      </c>
      <c r="AH44" s="427" t="s">
        <v>227</v>
      </c>
      <c r="AI44" s="320">
        <f t="shared" si="11"/>
        <v>1</v>
      </c>
      <c r="AJ44" s="320">
        <f t="shared" si="12"/>
        <v>1</v>
      </c>
      <c r="AK44" s="320">
        <f t="shared" si="13"/>
        <v>0</v>
      </c>
      <c r="AL44" s="320">
        <f t="shared" si="14"/>
        <v>0</v>
      </c>
      <c r="AM44" s="320">
        <f t="shared" si="15"/>
        <v>1</v>
      </c>
      <c r="AN44" s="320">
        <f t="shared" si="16"/>
        <v>0</v>
      </c>
      <c r="AO44" s="427">
        <v>3</v>
      </c>
      <c r="AP44" s="320">
        <f t="shared" si="17"/>
        <v>0</v>
      </c>
      <c r="AQ44" s="320">
        <f t="shared" si="18"/>
        <v>0</v>
      </c>
      <c r="AR44" s="320">
        <f t="shared" si="19"/>
        <v>0</v>
      </c>
      <c r="AS44" s="320">
        <f t="shared" si="20"/>
        <v>0</v>
      </c>
      <c r="AT44" s="320">
        <f t="shared" si="21"/>
        <v>1</v>
      </c>
      <c r="AU44" s="320">
        <f t="shared" si="22"/>
        <v>0</v>
      </c>
      <c r="AV44" s="427">
        <v>1</v>
      </c>
      <c r="AW44" s="320">
        <f t="shared" si="23"/>
        <v>1</v>
      </c>
      <c r="AX44" s="320">
        <f t="shared" si="24"/>
        <v>0</v>
      </c>
      <c r="AY44" s="320">
        <f t="shared" si="25"/>
        <v>0</v>
      </c>
      <c r="AZ44" s="320">
        <f t="shared" si="26"/>
        <v>0</v>
      </c>
      <c r="BA44" s="17">
        <v>1</v>
      </c>
      <c r="BB44" s="17" t="s">
        <v>1284</v>
      </c>
      <c r="BC44" s="17">
        <v>0</v>
      </c>
      <c r="BD44" s="17">
        <v>0</v>
      </c>
      <c r="BE44" s="17">
        <v>0</v>
      </c>
      <c r="BF44" s="17">
        <v>1</v>
      </c>
      <c r="BG44" s="428">
        <f t="shared" si="52"/>
        <v>1</v>
      </c>
      <c r="BH44" s="17"/>
      <c r="BI44" s="17">
        <v>1</v>
      </c>
      <c r="BJ44" s="17" t="s">
        <v>1129</v>
      </c>
      <c r="BK44" s="17"/>
      <c r="BL44" s="17">
        <v>1</v>
      </c>
      <c r="BM44" s="17" t="s">
        <v>834</v>
      </c>
      <c r="BN44" s="320">
        <f t="shared" si="27"/>
        <v>1</v>
      </c>
      <c r="BO44" s="320">
        <f t="shared" si="28"/>
        <v>0</v>
      </c>
      <c r="BP44" s="427">
        <v>1</v>
      </c>
      <c r="BQ44" s="427" t="s">
        <v>834</v>
      </c>
      <c r="BR44" s="320">
        <f t="shared" si="56"/>
        <v>1</v>
      </c>
      <c r="BS44" s="320">
        <f>IF(ISNUMBER(SEARCH("1",$BP44)),1,0)</f>
        <v>1</v>
      </c>
      <c r="BT44" s="427">
        <v>1</v>
      </c>
      <c r="BU44" s="320">
        <f t="shared" si="30"/>
        <v>1</v>
      </c>
      <c r="BV44" s="320">
        <f t="shared" si="31"/>
        <v>0</v>
      </c>
      <c r="BW44" s="320">
        <f t="shared" si="32"/>
        <v>0</v>
      </c>
      <c r="BX44" s="427" t="s">
        <v>244</v>
      </c>
      <c r="BY44" s="320">
        <f t="shared" si="33"/>
        <v>1</v>
      </c>
      <c r="BZ44" s="320">
        <f t="shared" si="34"/>
        <v>1</v>
      </c>
      <c r="CA44" s="320">
        <f t="shared" si="35"/>
        <v>1</v>
      </c>
      <c r="CB44" s="320">
        <f t="shared" si="36"/>
        <v>0</v>
      </c>
      <c r="CC44" s="427">
        <v>1</v>
      </c>
      <c r="CD44" s="320">
        <f t="shared" si="37"/>
        <v>1</v>
      </c>
      <c r="CE44" s="320">
        <f t="shared" si="38"/>
        <v>0</v>
      </c>
      <c r="CF44" s="320">
        <f t="shared" si="39"/>
        <v>0</v>
      </c>
      <c r="CG44" s="320">
        <f t="shared" si="40"/>
        <v>0</v>
      </c>
      <c r="CH44" s="427">
        <v>1</v>
      </c>
      <c r="CI44" s="427">
        <v>1</v>
      </c>
      <c r="CJ44" s="427">
        <v>1</v>
      </c>
      <c r="CK44" s="427">
        <v>0</v>
      </c>
      <c r="CL44" s="320">
        <f t="shared" si="53"/>
        <v>0</v>
      </c>
      <c r="CM44" s="320">
        <f t="shared" si="41"/>
        <v>0</v>
      </c>
      <c r="CN44" s="320">
        <f t="shared" si="42"/>
        <v>0</v>
      </c>
      <c r="CO44" s="320">
        <f t="shared" si="43"/>
        <v>0</v>
      </c>
      <c r="CP44" s="427">
        <v>1</v>
      </c>
      <c r="CQ44" s="427">
        <v>1</v>
      </c>
      <c r="CR44" s="320">
        <f t="shared" si="44"/>
        <v>1</v>
      </c>
      <c r="CS44" s="320">
        <f t="shared" si="45"/>
        <v>0</v>
      </c>
      <c r="CT44" s="320">
        <f t="shared" si="58"/>
        <v>0</v>
      </c>
      <c r="CU44" s="320">
        <f t="shared" si="59"/>
        <v>0</v>
      </c>
      <c r="CV44" s="427">
        <v>1</v>
      </c>
      <c r="CW44" s="17">
        <v>0</v>
      </c>
      <c r="CX44" s="320">
        <f t="shared" si="47"/>
        <v>0</v>
      </c>
      <c r="CY44" s="320">
        <f t="shared" si="48"/>
        <v>0</v>
      </c>
      <c r="CZ44" s="320">
        <f t="shared" si="49"/>
        <v>0</v>
      </c>
      <c r="DA44" s="17">
        <v>0</v>
      </c>
      <c r="DB44" s="17">
        <v>1</v>
      </c>
      <c r="DC44" s="17">
        <v>1</v>
      </c>
      <c r="DD44" s="31"/>
      <c r="DE44" s="321" t="s">
        <v>387</v>
      </c>
      <c r="DF44" s="321" t="s">
        <v>388</v>
      </c>
      <c r="DG44" s="321" t="s">
        <v>388</v>
      </c>
      <c r="DH44" s="321" t="s">
        <v>387</v>
      </c>
      <c r="DI44" s="321"/>
      <c r="DJ44" s="321" t="s">
        <v>388</v>
      </c>
      <c r="DK44" s="321" t="s">
        <v>438</v>
      </c>
      <c r="DL44" s="321" t="s">
        <v>439</v>
      </c>
      <c r="DM44" s="321" t="s">
        <v>440</v>
      </c>
      <c r="DN44" s="321" t="s">
        <v>388</v>
      </c>
      <c r="DO44" s="325">
        <v>0.57999999999999996</v>
      </c>
      <c r="DP44" s="322" t="s">
        <v>441</v>
      </c>
      <c r="DQ44" s="386"/>
      <c r="DR44" s="240">
        <f>SUM(DS44:DX44)/6</f>
        <v>0.40382447665056365</v>
      </c>
      <c r="DS44" s="429">
        <f t="shared" si="50"/>
        <v>0.21739130434782608</v>
      </c>
      <c r="DT44" s="429">
        <f>SUM(BA44:BE44,BG44)/5</f>
        <v>0.4</v>
      </c>
      <c r="DU44" s="429">
        <f>SUM(BI44,BO44,BS44,BU44:BW44)/6</f>
        <v>0.5</v>
      </c>
      <c r="DV44" s="429">
        <f>SUM(BY44-CB44,CD44-CG44)/8</f>
        <v>0.25</v>
      </c>
      <c r="DW44" s="429">
        <f>SUM(CH44:CJ44,CL44:CO44,BN44,BR44)/9</f>
        <v>0.55555555555555558</v>
      </c>
      <c r="DX44" s="429">
        <f>SUM(CP44,CR44:CV44)/6</f>
        <v>0.5</v>
      </c>
      <c r="DY44" s="444"/>
      <c r="DZ44" s="140" t="s">
        <v>690</v>
      </c>
      <c r="EA44" s="140" t="s">
        <v>691</v>
      </c>
      <c r="EB44" s="139" t="s">
        <v>789</v>
      </c>
      <c r="EC44" s="139" t="s">
        <v>774</v>
      </c>
      <c r="ED44" s="123">
        <v>3</v>
      </c>
      <c r="EG44" s="81"/>
      <c r="EH44" s="46"/>
      <c r="EI44" s="45"/>
      <c r="EJ44" s="33" t="e">
        <f t="shared" si="51"/>
        <v>#VALUE!</v>
      </c>
      <c r="EK44" s="42"/>
      <c r="EL44" s="42"/>
      <c r="EM44" s="42"/>
      <c r="EN44" s="439"/>
      <c r="EO44" s="439"/>
      <c r="EP44" s="439"/>
      <c r="EQ44" s="47"/>
      <c r="ER44" s="440">
        <v>0</v>
      </c>
      <c r="ES44" s="431"/>
      <c r="ET44" s="431">
        <v>0</v>
      </c>
      <c r="EU44" s="431"/>
      <c r="EV44" s="447"/>
      <c r="EZ44" s="393" t="s">
        <v>64</v>
      </c>
      <c r="FA44" s="393" t="s">
        <v>64</v>
      </c>
      <c r="FB44" s="389">
        <v>64417</v>
      </c>
      <c r="FC44" s="389">
        <v>61798.44</v>
      </c>
      <c r="FD44" s="389">
        <v>60201.36</v>
      </c>
      <c r="FE44" s="389">
        <v>58635.32</v>
      </c>
      <c r="FF44" s="389">
        <v>58501.74</v>
      </c>
      <c r="FG44" s="390">
        <v>-5.1686741607069753E-3</v>
      </c>
      <c r="FH44" s="390">
        <v>-5.2026731622009893E-3</v>
      </c>
      <c r="FI44" s="390">
        <v>-4.5562981493066552E-4</v>
      </c>
      <c r="FJ44" s="391">
        <v>-0.91242390195852485</v>
      </c>
      <c r="FK44" s="391" t="s">
        <v>1386</v>
      </c>
      <c r="FL44" s="31" t="s">
        <v>1392</v>
      </c>
      <c r="FN44" s="127" t="s">
        <v>1472</v>
      </c>
      <c r="FO44" s="127" t="s">
        <v>1473</v>
      </c>
      <c r="FP44" s="127"/>
    </row>
    <row r="45" spans="1:172" ht="22" hidden="1" customHeight="1" x14ac:dyDescent="0.2">
      <c r="A45" s="13" t="s">
        <v>10</v>
      </c>
      <c r="B45" s="14" t="s">
        <v>51</v>
      </c>
      <c r="C45" s="14"/>
      <c r="D45" s="14"/>
      <c r="E45" s="128" t="s">
        <v>65</v>
      </c>
      <c r="F45" s="15"/>
      <c r="G45" s="15" t="s">
        <v>634</v>
      </c>
      <c r="H45" s="91">
        <f t="shared" si="60"/>
        <v>1</v>
      </c>
      <c r="I45" s="95">
        <f t="shared" si="1"/>
        <v>0</v>
      </c>
      <c r="J45" s="91"/>
      <c r="K45" s="256">
        <f t="shared" si="2"/>
        <v>1</v>
      </c>
      <c r="L45" s="101">
        <v>0</v>
      </c>
      <c r="M45" s="99"/>
      <c r="N45" s="89"/>
      <c r="O45" s="98" t="str">
        <f t="shared" si="3"/>
        <v>_x000D__x000D_</v>
      </c>
      <c r="P45" s="144"/>
      <c r="Q45" s="55"/>
      <c r="R45" s="64" t="s">
        <v>918</v>
      </c>
      <c r="S45" s="425"/>
      <c r="T45" s="300" t="s">
        <v>834</v>
      </c>
      <c r="U45" s="300" t="s">
        <v>834</v>
      </c>
      <c r="V45" s="301" t="s">
        <v>834</v>
      </c>
      <c r="W45" s="258"/>
      <c r="X45" s="307" t="s">
        <v>834</v>
      </c>
      <c r="Y45" s="274"/>
      <c r="Z45" s="426"/>
      <c r="AA45" s="320">
        <f t="shared" si="4"/>
        <v>0</v>
      </c>
      <c r="AB45" s="320">
        <f t="shared" si="5"/>
        <v>0</v>
      </c>
      <c r="AC45" s="320">
        <f t="shared" si="6"/>
        <v>0</v>
      </c>
      <c r="AD45" s="320">
        <f t="shared" si="7"/>
        <v>0</v>
      </c>
      <c r="AE45" s="320">
        <f t="shared" si="8"/>
        <v>0</v>
      </c>
      <c r="AF45" s="320">
        <f t="shared" si="9"/>
        <v>0</v>
      </c>
      <c r="AG45" s="320">
        <f t="shared" si="10"/>
        <v>0</v>
      </c>
      <c r="AH45" s="427"/>
      <c r="AI45" s="320">
        <f t="shared" si="11"/>
        <v>0</v>
      </c>
      <c r="AJ45" s="320">
        <f t="shared" si="12"/>
        <v>0</v>
      </c>
      <c r="AK45" s="320">
        <f t="shared" si="13"/>
        <v>0</v>
      </c>
      <c r="AL45" s="320">
        <f t="shared" si="14"/>
        <v>0</v>
      </c>
      <c r="AM45" s="320">
        <f t="shared" si="15"/>
        <v>0</v>
      </c>
      <c r="AN45" s="320">
        <f t="shared" si="16"/>
        <v>0</v>
      </c>
      <c r="AO45" s="427"/>
      <c r="AP45" s="320">
        <f t="shared" si="17"/>
        <v>0</v>
      </c>
      <c r="AQ45" s="320">
        <f t="shared" si="18"/>
        <v>0</v>
      </c>
      <c r="AR45" s="320">
        <f t="shared" si="19"/>
        <v>0</v>
      </c>
      <c r="AS45" s="320">
        <f t="shared" si="20"/>
        <v>0</v>
      </c>
      <c r="AT45" s="320">
        <f t="shared" si="21"/>
        <v>0</v>
      </c>
      <c r="AU45" s="320">
        <f t="shared" si="22"/>
        <v>0</v>
      </c>
      <c r="AV45" s="427"/>
      <c r="AW45" s="320">
        <f t="shared" si="23"/>
        <v>0</v>
      </c>
      <c r="AX45" s="320">
        <f t="shared" si="24"/>
        <v>0</v>
      </c>
      <c r="AY45" s="320">
        <f t="shared" si="25"/>
        <v>0</v>
      </c>
      <c r="AZ45" s="320">
        <f t="shared" si="26"/>
        <v>0</v>
      </c>
      <c r="BA45" s="17"/>
      <c r="BB45" s="17" t="s">
        <v>834</v>
      </c>
      <c r="BC45" s="17"/>
      <c r="BD45" s="17"/>
      <c r="BE45" s="17"/>
      <c r="BF45" s="17"/>
      <c r="BG45" s="428">
        <f t="shared" si="52"/>
        <v>0</v>
      </c>
      <c r="BH45" s="17"/>
      <c r="BI45" s="17"/>
      <c r="BJ45" s="17"/>
      <c r="BK45" s="17"/>
      <c r="BL45" s="17"/>
      <c r="BM45" s="17"/>
      <c r="BN45" s="320">
        <f t="shared" si="27"/>
        <v>0</v>
      </c>
      <c r="BO45" s="320">
        <f t="shared" si="28"/>
        <v>0</v>
      </c>
      <c r="BP45" s="427"/>
      <c r="BQ45" s="427"/>
      <c r="BR45" s="320">
        <f t="shared" si="56"/>
        <v>0</v>
      </c>
      <c r="BS45" s="320">
        <f>IF(ISNUMBER(SEARCH("1",$BP45)),1,0)</f>
        <v>0</v>
      </c>
      <c r="BT45" s="427"/>
      <c r="BU45" s="320">
        <f t="shared" si="30"/>
        <v>0</v>
      </c>
      <c r="BV45" s="320">
        <f t="shared" si="31"/>
        <v>0</v>
      </c>
      <c r="BW45" s="320">
        <f t="shared" si="32"/>
        <v>0</v>
      </c>
      <c r="BX45" s="427"/>
      <c r="BY45" s="320">
        <f t="shared" si="33"/>
        <v>0</v>
      </c>
      <c r="BZ45" s="320">
        <f t="shared" si="34"/>
        <v>0</v>
      </c>
      <c r="CA45" s="320">
        <f t="shared" si="35"/>
        <v>0</v>
      </c>
      <c r="CB45" s="320">
        <f t="shared" si="36"/>
        <v>0</v>
      </c>
      <c r="CC45" s="427"/>
      <c r="CD45" s="320">
        <f t="shared" si="37"/>
        <v>0</v>
      </c>
      <c r="CE45" s="320">
        <f t="shared" si="38"/>
        <v>0</v>
      </c>
      <c r="CF45" s="320">
        <f t="shared" si="39"/>
        <v>0</v>
      </c>
      <c r="CG45" s="320">
        <f t="shared" si="40"/>
        <v>0</v>
      </c>
      <c r="CH45" s="427"/>
      <c r="CI45" s="427"/>
      <c r="CJ45" s="427"/>
      <c r="CK45" s="427"/>
      <c r="CL45" s="320">
        <f t="shared" si="53"/>
        <v>0</v>
      </c>
      <c r="CM45" s="320">
        <f t="shared" si="41"/>
        <v>0</v>
      </c>
      <c r="CN45" s="320">
        <f t="shared" si="42"/>
        <v>0</v>
      </c>
      <c r="CO45" s="320">
        <f t="shared" si="43"/>
        <v>0</v>
      </c>
      <c r="CP45" s="427"/>
      <c r="CQ45" s="427"/>
      <c r="CR45" s="320">
        <f t="shared" si="44"/>
        <v>0</v>
      </c>
      <c r="CS45" s="320">
        <f t="shared" si="45"/>
        <v>0</v>
      </c>
      <c r="CT45" s="320">
        <f t="shared" si="58"/>
        <v>0</v>
      </c>
      <c r="CU45" s="320">
        <f t="shared" si="59"/>
        <v>0</v>
      </c>
      <c r="CV45" s="427"/>
      <c r="CW45" s="17"/>
      <c r="CX45" s="320">
        <f t="shared" si="47"/>
        <v>0</v>
      </c>
      <c r="CY45" s="320">
        <f t="shared" si="48"/>
        <v>0</v>
      </c>
      <c r="CZ45" s="320">
        <f t="shared" si="49"/>
        <v>0</v>
      </c>
      <c r="DA45" s="17"/>
      <c r="DB45" s="17"/>
      <c r="DC45" s="17"/>
      <c r="DD45" s="31"/>
      <c r="DE45" s="323"/>
      <c r="DF45" s="323"/>
      <c r="DG45" s="323"/>
      <c r="DH45" s="323"/>
      <c r="DI45" s="323"/>
      <c r="DJ45" s="323"/>
      <c r="DK45" s="323"/>
      <c r="DL45" s="323"/>
      <c r="DM45" s="323"/>
      <c r="DN45" s="323"/>
      <c r="DO45" s="323"/>
      <c r="DP45" s="324"/>
      <c r="DQ45" s="385"/>
      <c r="DR45" s="242"/>
      <c r="DS45" s="429">
        <f t="shared" si="50"/>
        <v>0</v>
      </c>
      <c r="DT45" s="438"/>
      <c r="DU45" s="59"/>
      <c r="DV45" s="59"/>
      <c r="DW45" s="59"/>
      <c r="DX45" s="59"/>
      <c r="DY45" s="59"/>
      <c r="DZ45" s="134"/>
      <c r="EA45" s="134"/>
      <c r="EB45" s="134"/>
      <c r="EC45" s="134"/>
      <c r="ED45" s="123"/>
      <c r="EG45" s="81"/>
      <c r="EH45" s="46">
        <v>0</v>
      </c>
      <c r="EI45" s="45"/>
      <c r="EJ45" s="33" t="b">
        <f t="shared" si="51"/>
        <v>0</v>
      </c>
      <c r="EK45" s="42"/>
      <c r="EL45" s="42"/>
      <c r="EM45" s="42"/>
      <c r="EN45" s="439"/>
      <c r="EO45" s="439"/>
      <c r="EP45" s="439"/>
      <c r="EQ45" s="47"/>
      <c r="ER45" s="440">
        <v>0</v>
      </c>
      <c r="ES45" s="431">
        <v>0</v>
      </c>
      <c r="ET45" s="431">
        <v>0</v>
      </c>
      <c r="EU45" s="431">
        <v>0</v>
      </c>
      <c r="EV45" s="447" t="s">
        <v>386</v>
      </c>
      <c r="EZ45" s="393" t="s">
        <v>65</v>
      </c>
      <c r="FA45" s="393" t="s">
        <v>65</v>
      </c>
      <c r="FB45" s="389">
        <v>49</v>
      </c>
      <c r="FC45" s="389">
        <v>45</v>
      </c>
      <c r="FD45" s="389">
        <v>42</v>
      </c>
      <c r="FE45" s="389">
        <v>39</v>
      </c>
      <c r="FF45" s="389">
        <v>37</v>
      </c>
      <c r="FG45" s="390">
        <v>-1.3333333333333332E-2</v>
      </c>
      <c r="FH45" s="390">
        <v>-1.4285714285714285E-2</v>
      </c>
      <c r="FI45" s="390">
        <v>-1.0256410256410256E-2</v>
      </c>
      <c r="FJ45" s="391">
        <v>-0.28205128205128205</v>
      </c>
      <c r="FK45" s="391" t="s">
        <v>1386</v>
      </c>
      <c r="FL45" s="31" t="s">
        <v>1395</v>
      </c>
      <c r="FN45" s="127" t="s">
        <v>1474</v>
      </c>
      <c r="FO45" s="127" t="s">
        <v>1475</v>
      </c>
      <c r="FP45" s="127"/>
    </row>
    <row r="46" spans="1:172" ht="22" hidden="1" customHeight="1" x14ac:dyDescent="0.2">
      <c r="A46" s="13" t="s">
        <v>10</v>
      </c>
      <c r="B46" s="14" t="s">
        <v>14</v>
      </c>
      <c r="C46" s="14"/>
      <c r="D46" s="14"/>
      <c r="E46" s="129" t="s">
        <v>66</v>
      </c>
      <c r="F46" s="15"/>
      <c r="G46" s="15" t="s">
        <v>635</v>
      </c>
      <c r="H46" s="91">
        <f t="shared" si="60"/>
        <v>0</v>
      </c>
      <c r="I46" s="95">
        <f t="shared" si="1"/>
        <v>2</v>
      </c>
      <c r="J46" s="91"/>
      <c r="K46" s="256">
        <f t="shared" si="2"/>
        <v>2</v>
      </c>
      <c r="L46" s="101" t="s">
        <v>679</v>
      </c>
      <c r="M46" s="99">
        <v>1</v>
      </c>
      <c r="N46" s="26">
        <v>2000000</v>
      </c>
      <c r="O46" s="144" t="str">
        <f t="shared" si="3"/>
        <v>_x000D__x000D_</v>
      </c>
      <c r="P46" s="144"/>
      <c r="Q46" s="55"/>
      <c r="R46" s="64" t="s">
        <v>918</v>
      </c>
      <c r="S46" s="425"/>
      <c r="T46" s="300" t="s">
        <v>871</v>
      </c>
      <c r="U46" s="300" t="s">
        <v>834</v>
      </c>
      <c r="V46" s="309" t="s">
        <v>834</v>
      </c>
      <c r="W46" s="258"/>
      <c r="X46" s="307" t="s">
        <v>834</v>
      </c>
      <c r="Y46" s="274"/>
      <c r="Z46" s="426"/>
      <c r="AA46" s="320">
        <f t="shared" si="4"/>
        <v>0</v>
      </c>
      <c r="AB46" s="320">
        <f t="shared" si="5"/>
        <v>0</v>
      </c>
      <c r="AC46" s="320">
        <f t="shared" si="6"/>
        <v>0</v>
      </c>
      <c r="AD46" s="320">
        <f t="shared" si="7"/>
        <v>0</v>
      </c>
      <c r="AE46" s="320">
        <f t="shared" si="8"/>
        <v>0</v>
      </c>
      <c r="AF46" s="320">
        <f t="shared" si="9"/>
        <v>0</v>
      </c>
      <c r="AG46" s="320">
        <f t="shared" si="10"/>
        <v>0</v>
      </c>
      <c r="AH46" s="427"/>
      <c r="AI46" s="320">
        <f t="shared" si="11"/>
        <v>0</v>
      </c>
      <c r="AJ46" s="320">
        <f t="shared" si="12"/>
        <v>0</v>
      </c>
      <c r="AK46" s="320">
        <f t="shared" si="13"/>
        <v>0</v>
      </c>
      <c r="AL46" s="320">
        <f t="shared" si="14"/>
        <v>0</v>
      </c>
      <c r="AM46" s="320">
        <f t="shared" si="15"/>
        <v>0</v>
      </c>
      <c r="AN46" s="320">
        <f t="shared" si="16"/>
        <v>0</v>
      </c>
      <c r="AO46" s="427"/>
      <c r="AP46" s="320">
        <f t="shared" si="17"/>
        <v>0</v>
      </c>
      <c r="AQ46" s="320">
        <f t="shared" si="18"/>
        <v>0</v>
      </c>
      <c r="AR46" s="320">
        <f t="shared" si="19"/>
        <v>0</v>
      </c>
      <c r="AS46" s="320">
        <f t="shared" si="20"/>
        <v>0</v>
      </c>
      <c r="AT46" s="320">
        <f t="shared" si="21"/>
        <v>0</v>
      </c>
      <c r="AU46" s="320">
        <f t="shared" si="22"/>
        <v>0</v>
      </c>
      <c r="AV46" s="427"/>
      <c r="AW46" s="320">
        <f t="shared" si="23"/>
        <v>0</v>
      </c>
      <c r="AX46" s="320">
        <f t="shared" si="24"/>
        <v>0</v>
      </c>
      <c r="AY46" s="320">
        <f t="shared" si="25"/>
        <v>0</v>
      </c>
      <c r="AZ46" s="320">
        <f t="shared" si="26"/>
        <v>0</v>
      </c>
      <c r="BA46" s="17">
        <v>1</v>
      </c>
      <c r="BB46" s="17" t="s">
        <v>871</v>
      </c>
      <c r="BC46" s="17"/>
      <c r="BD46" s="17"/>
      <c r="BE46" s="17"/>
      <c r="BF46" s="17"/>
      <c r="BG46" s="428">
        <f t="shared" si="52"/>
        <v>0</v>
      </c>
      <c r="BH46" s="17"/>
      <c r="BI46" s="17"/>
      <c r="BJ46" s="17"/>
      <c r="BK46" s="17"/>
      <c r="BL46" s="17"/>
      <c r="BM46" s="17"/>
      <c r="BN46" s="320">
        <f t="shared" si="27"/>
        <v>0</v>
      </c>
      <c r="BO46" s="320">
        <f t="shared" si="28"/>
        <v>0</v>
      </c>
      <c r="BP46" s="427"/>
      <c r="BQ46" s="427"/>
      <c r="BR46" s="320">
        <f t="shared" si="56"/>
        <v>0</v>
      </c>
      <c r="BS46" s="320">
        <f>IF(ISNUMBER(SEARCH("1",$BP46)),1,0)</f>
        <v>0</v>
      </c>
      <c r="BT46" s="427"/>
      <c r="BU46" s="320">
        <f t="shared" si="30"/>
        <v>0</v>
      </c>
      <c r="BV46" s="320">
        <f t="shared" si="31"/>
        <v>0</v>
      </c>
      <c r="BW46" s="320">
        <f t="shared" si="32"/>
        <v>0</v>
      </c>
      <c r="BX46" s="427"/>
      <c r="BY46" s="320">
        <f t="shared" si="33"/>
        <v>0</v>
      </c>
      <c r="BZ46" s="320">
        <f t="shared" si="34"/>
        <v>0</v>
      </c>
      <c r="CA46" s="320">
        <f t="shared" si="35"/>
        <v>0</v>
      </c>
      <c r="CB46" s="320">
        <f t="shared" si="36"/>
        <v>0</v>
      </c>
      <c r="CC46" s="427"/>
      <c r="CD46" s="320">
        <f t="shared" si="37"/>
        <v>0</v>
      </c>
      <c r="CE46" s="320">
        <f t="shared" si="38"/>
        <v>0</v>
      </c>
      <c r="CF46" s="320">
        <f t="shared" si="39"/>
        <v>0</v>
      </c>
      <c r="CG46" s="320">
        <f t="shared" si="40"/>
        <v>0</v>
      </c>
      <c r="CH46" s="427"/>
      <c r="CI46" s="427"/>
      <c r="CJ46" s="427"/>
      <c r="CK46" s="427"/>
      <c r="CL46" s="320">
        <f t="shared" si="53"/>
        <v>0</v>
      </c>
      <c r="CM46" s="320">
        <f t="shared" si="41"/>
        <v>0</v>
      </c>
      <c r="CN46" s="320">
        <f t="shared" si="42"/>
        <v>0</v>
      </c>
      <c r="CO46" s="320">
        <f t="shared" si="43"/>
        <v>0</v>
      </c>
      <c r="CP46" s="427"/>
      <c r="CQ46" s="427"/>
      <c r="CR46" s="320">
        <f t="shared" si="44"/>
        <v>0</v>
      </c>
      <c r="CS46" s="320">
        <f t="shared" si="45"/>
        <v>0</v>
      </c>
      <c r="CT46" s="320">
        <f t="shared" si="58"/>
        <v>0</v>
      </c>
      <c r="CU46" s="320">
        <f t="shared" si="59"/>
        <v>0</v>
      </c>
      <c r="CV46" s="427"/>
      <c r="CW46" s="17"/>
      <c r="CX46" s="320">
        <f t="shared" si="47"/>
        <v>0</v>
      </c>
      <c r="CY46" s="320">
        <f t="shared" si="48"/>
        <v>0</v>
      </c>
      <c r="CZ46" s="320">
        <f t="shared" si="49"/>
        <v>0</v>
      </c>
      <c r="DA46" s="17"/>
      <c r="DB46" s="17"/>
      <c r="DC46" s="17"/>
      <c r="DD46" s="31"/>
      <c r="DE46" s="330"/>
      <c r="DF46" s="330"/>
      <c r="DG46" s="330"/>
      <c r="DH46" s="330"/>
      <c r="DI46" s="321"/>
      <c r="DJ46" s="330"/>
      <c r="DK46" s="330"/>
      <c r="DL46" s="330"/>
      <c r="DM46" s="330"/>
      <c r="DN46" s="330"/>
      <c r="DO46" s="330"/>
      <c r="DP46" s="322"/>
      <c r="DQ46" s="385"/>
      <c r="DR46" s="243"/>
      <c r="DS46" s="429">
        <f t="shared" si="50"/>
        <v>0</v>
      </c>
      <c r="DT46" s="438"/>
      <c r="DU46" s="59"/>
      <c r="DV46" s="59"/>
      <c r="DW46" s="59"/>
      <c r="DX46" s="59"/>
      <c r="DY46" s="133"/>
      <c r="DZ46" s="134"/>
      <c r="EA46" s="134"/>
      <c r="EB46" s="134"/>
      <c r="EC46" s="134"/>
      <c r="ED46" s="123"/>
      <c r="EG46" s="122"/>
      <c r="EH46" s="40">
        <v>1</v>
      </c>
      <c r="EI46" s="452">
        <v>3700000</v>
      </c>
      <c r="EJ46" s="33" t="e">
        <f t="shared" si="51"/>
        <v>#VALUE!</v>
      </c>
      <c r="EK46" s="42"/>
      <c r="EL46" s="42"/>
      <c r="EM46" s="42"/>
      <c r="EN46" s="36">
        <v>210000</v>
      </c>
      <c r="EO46" s="36"/>
      <c r="EP46" s="36" t="s">
        <v>385</v>
      </c>
      <c r="EQ46" s="37" t="s">
        <v>386</v>
      </c>
      <c r="ER46" s="440">
        <v>1</v>
      </c>
      <c r="ES46" s="431"/>
      <c r="ET46" s="431">
        <v>1</v>
      </c>
      <c r="EU46" s="431">
        <v>1</v>
      </c>
      <c r="EV46" s="447"/>
      <c r="EZ46" s="393" t="s">
        <v>66</v>
      </c>
      <c r="FA46" s="393" t="s">
        <v>1377</v>
      </c>
      <c r="FB46" s="389">
        <v>22726</v>
      </c>
      <c r="FC46" s="389">
        <v>22556</v>
      </c>
      <c r="FD46" s="389">
        <v>22471</v>
      </c>
      <c r="FE46" s="389">
        <v>22411</v>
      </c>
      <c r="FF46" s="389">
        <v>22334</v>
      </c>
      <c r="FG46" s="390">
        <v>-7.5367973044866113E-4</v>
      </c>
      <c r="FH46" s="390">
        <v>-5.3402162787592896E-4</v>
      </c>
      <c r="FI46" s="390">
        <v>-6.871625541028959E-4</v>
      </c>
      <c r="FJ46" s="391">
        <v>0.28676914610384785</v>
      </c>
      <c r="FK46" s="391" t="s">
        <v>1386</v>
      </c>
      <c r="FL46" s="31" t="s">
        <v>1379</v>
      </c>
      <c r="FN46" s="129" t="s">
        <v>1476</v>
      </c>
      <c r="FO46" s="129" t="s">
        <v>1477</v>
      </c>
      <c r="FP46" s="129"/>
    </row>
    <row r="47" spans="1:172" ht="22" hidden="1" customHeight="1" x14ac:dyDescent="0.2">
      <c r="A47" s="13" t="s">
        <v>24</v>
      </c>
      <c r="B47" s="14" t="s">
        <v>67</v>
      </c>
      <c r="C47" s="14"/>
      <c r="D47" s="14"/>
      <c r="E47" s="128" t="s">
        <v>68</v>
      </c>
      <c r="F47" s="15"/>
      <c r="G47" s="15" t="s">
        <v>634</v>
      </c>
      <c r="H47" s="91">
        <f t="shared" si="60"/>
        <v>1</v>
      </c>
      <c r="I47" s="95">
        <f t="shared" si="1"/>
        <v>0</v>
      </c>
      <c r="J47" s="91"/>
      <c r="K47" s="256">
        <f t="shared" si="2"/>
        <v>1</v>
      </c>
      <c r="L47" s="101">
        <v>0</v>
      </c>
      <c r="M47" s="99"/>
      <c r="N47" s="89"/>
      <c r="O47" s="98" t="str">
        <f t="shared" si="3"/>
        <v>_x000D__x000D_</v>
      </c>
      <c r="P47" s="144"/>
      <c r="Q47" s="55"/>
      <c r="R47" s="64" t="s">
        <v>918</v>
      </c>
      <c r="S47" s="425"/>
      <c r="T47" s="300" t="s">
        <v>834</v>
      </c>
      <c r="U47" s="300" t="s">
        <v>834</v>
      </c>
      <c r="V47" s="301" t="s">
        <v>834</v>
      </c>
      <c r="W47" s="258"/>
      <c r="X47" s="307" t="s">
        <v>834</v>
      </c>
      <c r="Y47" s="274"/>
      <c r="Z47" s="426"/>
      <c r="AA47" s="320">
        <f t="shared" si="4"/>
        <v>0</v>
      </c>
      <c r="AB47" s="320">
        <f t="shared" si="5"/>
        <v>0</v>
      </c>
      <c r="AC47" s="320">
        <f t="shared" si="6"/>
        <v>0</v>
      </c>
      <c r="AD47" s="320">
        <f t="shared" si="7"/>
        <v>0</v>
      </c>
      <c r="AE47" s="320">
        <f t="shared" si="8"/>
        <v>0</v>
      </c>
      <c r="AF47" s="320">
        <f t="shared" si="9"/>
        <v>0</v>
      </c>
      <c r="AG47" s="320">
        <f t="shared" si="10"/>
        <v>0</v>
      </c>
      <c r="AH47" s="427"/>
      <c r="AI47" s="320">
        <f t="shared" si="11"/>
        <v>0</v>
      </c>
      <c r="AJ47" s="320">
        <f t="shared" si="12"/>
        <v>0</v>
      </c>
      <c r="AK47" s="320">
        <f t="shared" si="13"/>
        <v>0</v>
      </c>
      <c r="AL47" s="320">
        <f t="shared" si="14"/>
        <v>0</v>
      </c>
      <c r="AM47" s="320">
        <f t="shared" si="15"/>
        <v>0</v>
      </c>
      <c r="AN47" s="320">
        <f t="shared" si="16"/>
        <v>0</v>
      </c>
      <c r="AO47" s="427"/>
      <c r="AP47" s="320">
        <f t="shared" si="17"/>
        <v>0</v>
      </c>
      <c r="AQ47" s="320">
        <f t="shared" si="18"/>
        <v>0</v>
      </c>
      <c r="AR47" s="320">
        <f t="shared" si="19"/>
        <v>0</v>
      </c>
      <c r="AS47" s="320">
        <f t="shared" si="20"/>
        <v>0</v>
      </c>
      <c r="AT47" s="320">
        <f t="shared" si="21"/>
        <v>0</v>
      </c>
      <c r="AU47" s="320">
        <f t="shared" si="22"/>
        <v>0</v>
      </c>
      <c r="AV47" s="427"/>
      <c r="AW47" s="320">
        <f t="shared" si="23"/>
        <v>0</v>
      </c>
      <c r="AX47" s="320">
        <f t="shared" si="24"/>
        <v>0</v>
      </c>
      <c r="AY47" s="320">
        <f t="shared" si="25"/>
        <v>0</v>
      </c>
      <c r="AZ47" s="320">
        <f t="shared" si="26"/>
        <v>0</v>
      </c>
      <c r="BA47" s="17"/>
      <c r="BB47" s="17" t="s">
        <v>834</v>
      </c>
      <c r="BC47" s="17"/>
      <c r="BD47" s="17"/>
      <c r="BE47" s="17"/>
      <c r="BF47" s="17"/>
      <c r="BG47" s="428">
        <f t="shared" si="52"/>
        <v>0</v>
      </c>
      <c r="BH47" s="17"/>
      <c r="BI47" s="17"/>
      <c r="BJ47" s="17"/>
      <c r="BK47" s="17"/>
      <c r="BL47" s="17"/>
      <c r="BM47" s="17"/>
      <c r="BN47" s="320">
        <f t="shared" si="27"/>
        <v>0</v>
      </c>
      <c r="BO47" s="320">
        <f t="shared" si="28"/>
        <v>0</v>
      </c>
      <c r="BP47" s="427"/>
      <c r="BQ47" s="427"/>
      <c r="BR47" s="320">
        <f t="shared" si="56"/>
        <v>0</v>
      </c>
      <c r="BS47" s="320">
        <f>IF(ISNUMBER(SEARCH("1",$BP47)),1,0)</f>
        <v>0</v>
      </c>
      <c r="BT47" s="427"/>
      <c r="BU47" s="320">
        <f t="shared" si="30"/>
        <v>0</v>
      </c>
      <c r="BV47" s="320">
        <f t="shared" si="31"/>
        <v>0</v>
      </c>
      <c r="BW47" s="320">
        <f t="shared" si="32"/>
        <v>0</v>
      </c>
      <c r="BX47" s="427"/>
      <c r="BY47" s="320">
        <f t="shared" si="33"/>
        <v>0</v>
      </c>
      <c r="BZ47" s="320">
        <f t="shared" si="34"/>
        <v>0</v>
      </c>
      <c r="CA47" s="320">
        <f t="shared" si="35"/>
        <v>0</v>
      </c>
      <c r="CB47" s="320">
        <f t="shared" si="36"/>
        <v>0</v>
      </c>
      <c r="CC47" s="427"/>
      <c r="CD47" s="320">
        <f t="shared" si="37"/>
        <v>0</v>
      </c>
      <c r="CE47" s="320">
        <f t="shared" si="38"/>
        <v>0</v>
      </c>
      <c r="CF47" s="320">
        <f t="shared" si="39"/>
        <v>0</v>
      </c>
      <c r="CG47" s="320">
        <f t="shared" si="40"/>
        <v>0</v>
      </c>
      <c r="CH47" s="427"/>
      <c r="CI47" s="427"/>
      <c r="CJ47" s="427"/>
      <c r="CK47" s="427"/>
      <c r="CL47" s="320">
        <f t="shared" si="53"/>
        <v>0</v>
      </c>
      <c r="CM47" s="320">
        <f t="shared" si="41"/>
        <v>0</v>
      </c>
      <c r="CN47" s="320">
        <f t="shared" si="42"/>
        <v>0</v>
      </c>
      <c r="CO47" s="320">
        <f t="shared" si="43"/>
        <v>0</v>
      </c>
      <c r="CP47" s="427"/>
      <c r="CQ47" s="427"/>
      <c r="CR47" s="320">
        <f t="shared" si="44"/>
        <v>0</v>
      </c>
      <c r="CS47" s="320">
        <f t="shared" si="45"/>
        <v>0</v>
      </c>
      <c r="CT47" s="320">
        <f t="shared" si="58"/>
        <v>0</v>
      </c>
      <c r="CU47" s="320">
        <f t="shared" si="59"/>
        <v>0</v>
      </c>
      <c r="CV47" s="427"/>
      <c r="CW47" s="17"/>
      <c r="CX47" s="320">
        <f t="shared" si="47"/>
        <v>0</v>
      </c>
      <c r="CY47" s="320">
        <f t="shared" si="48"/>
        <v>0</v>
      </c>
      <c r="CZ47" s="320">
        <f t="shared" si="49"/>
        <v>0</v>
      </c>
      <c r="DA47" s="17"/>
      <c r="DB47" s="17"/>
      <c r="DC47" s="17"/>
      <c r="DD47" s="31"/>
      <c r="DE47" s="323"/>
      <c r="DF47" s="323"/>
      <c r="DG47" s="323"/>
      <c r="DH47" s="323"/>
      <c r="DI47" s="323"/>
      <c r="DJ47" s="323"/>
      <c r="DK47" s="323"/>
      <c r="DL47" s="323"/>
      <c r="DM47" s="323"/>
      <c r="DN47" s="323"/>
      <c r="DO47" s="323"/>
      <c r="DP47" s="324"/>
      <c r="DQ47" s="385"/>
      <c r="DR47" s="242"/>
      <c r="DS47" s="429">
        <f t="shared" si="50"/>
        <v>0</v>
      </c>
      <c r="DT47" s="438"/>
      <c r="DU47" s="59"/>
      <c r="DV47" s="59"/>
      <c r="DW47" s="59"/>
      <c r="DX47" s="59"/>
      <c r="DY47" s="59"/>
      <c r="DZ47" s="134"/>
      <c r="EA47" s="134"/>
      <c r="EB47" s="134"/>
      <c r="EC47" s="134"/>
      <c r="ED47" s="123"/>
      <c r="EG47" s="122"/>
      <c r="EH47" s="40">
        <v>1</v>
      </c>
      <c r="EI47" s="453"/>
      <c r="EJ47" s="33" t="b">
        <f t="shared" si="51"/>
        <v>0</v>
      </c>
      <c r="EK47" s="41" t="s">
        <v>415</v>
      </c>
      <c r="EL47" s="41" t="s">
        <v>416</v>
      </c>
      <c r="EM47" s="41" t="s">
        <v>417</v>
      </c>
      <c r="EN47" s="34"/>
      <c r="EO47" s="36" t="s">
        <v>418</v>
      </c>
      <c r="EP47" s="36" t="s">
        <v>419</v>
      </c>
      <c r="EQ47" s="37" t="s">
        <v>386</v>
      </c>
      <c r="ER47" s="440">
        <v>1</v>
      </c>
      <c r="ES47" s="431">
        <v>1</v>
      </c>
      <c r="ET47" s="431">
        <v>1</v>
      </c>
      <c r="EU47" s="431">
        <v>1</v>
      </c>
      <c r="EV47" s="447" t="s">
        <v>386</v>
      </c>
      <c r="EZ47" s="393" t="s">
        <v>68</v>
      </c>
      <c r="FA47" s="393" t="s">
        <v>68</v>
      </c>
      <c r="FB47" s="389">
        <v>14.4</v>
      </c>
      <c r="FC47" s="389">
        <v>15.1</v>
      </c>
      <c r="FD47" s="389">
        <v>15.1</v>
      </c>
      <c r="FE47" s="389">
        <v>15.1</v>
      </c>
      <c r="FF47" s="389">
        <v>15.1</v>
      </c>
      <c r="FG47" s="390">
        <v>0</v>
      </c>
      <c r="FH47" s="390">
        <v>0</v>
      </c>
      <c r="FI47" s="390">
        <v>0</v>
      </c>
      <c r="FJ47" s="391">
        <v>0</v>
      </c>
      <c r="FK47" s="391" t="s">
        <v>1386</v>
      </c>
      <c r="FL47" s="31" t="s">
        <v>1387</v>
      </c>
      <c r="FN47" s="127"/>
      <c r="FO47" s="127" t="s">
        <v>1478</v>
      </c>
      <c r="FP47" s="127"/>
    </row>
    <row r="48" spans="1:172" ht="22" hidden="1" customHeight="1" x14ac:dyDescent="0.2">
      <c r="A48" s="13" t="s">
        <v>16</v>
      </c>
      <c r="B48" s="19" t="s">
        <v>37</v>
      </c>
      <c r="C48" s="19"/>
      <c r="D48" s="19"/>
      <c r="E48" s="128" t="s">
        <v>69</v>
      </c>
      <c r="F48" s="15" t="s">
        <v>637</v>
      </c>
      <c r="G48" s="15" t="s">
        <v>634</v>
      </c>
      <c r="H48" s="91">
        <f t="shared" si="60"/>
        <v>1</v>
      </c>
      <c r="I48" s="95">
        <f t="shared" si="1"/>
        <v>2</v>
      </c>
      <c r="J48" s="91"/>
      <c r="K48" s="256">
        <f t="shared" si="2"/>
        <v>3</v>
      </c>
      <c r="L48" s="101" t="s">
        <v>680</v>
      </c>
      <c r="M48" s="99">
        <v>1</v>
      </c>
      <c r="N48" s="26">
        <v>1000000</v>
      </c>
      <c r="O48" s="98" t="str">
        <f t="shared" si="3"/>
        <v>_x000D__x000D_</v>
      </c>
      <c r="P48" s="144" t="str">
        <f t="shared" ref="P48:P55" si="61">CONCATENATE(V48,R48,X48)</f>
        <v>The AFOLU sector (agriculture, forestry, other land use) is included in the national goal for the Contribution. Costa Rica has been significantly improving metrics to quantify emissions and fixation in these sectors. Costa Rica will continue with improvements in metrics, deriving verifiable information through pilot actions such as NAMAs, Low Carbon Sector Strategies and the National REDD+ strategy, to define, with better accuracy, the sector contributions towards the National Contribution._x000D__x000D_Costa Rica proposed since 2007 to compensate its emissions through the removal or offsetting_x000D_by the forest sector. The goal proposed to achieve Carbon Neutrality by 2021 with total net emissions comparable to total emissions in 2005._x000D__x000D__x000D_</v>
      </c>
      <c r="Q48" s="55"/>
      <c r="R48" s="64" t="s">
        <v>918</v>
      </c>
      <c r="S48" s="425"/>
      <c r="T48" s="300" t="s">
        <v>947</v>
      </c>
      <c r="U48" s="300" t="s">
        <v>948</v>
      </c>
      <c r="V48" s="301" t="s">
        <v>442</v>
      </c>
      <c r="W48" s="258"/>
      <c r="X48" s="307"/>
      <c r="Y48" s="274"/>
      <c r="Z48" s="426" t="s">
        <v>222</v>
      </c>
      <c r="AA48" s="320">
        <f t="shared" si="4"/>
        <v>1</v>
      </c>
      <c r="AB48" s="320">
        <f t="shared" si="5"/>
        <v>1</v>
      </c>
      <c r="AC48" s="320">
        <f t="shared" si="6"/>
        <v>1</v>
      </c>
      <c r="AD48" s="320">
        <f t="shared" si="7"/>
        <v>0</v>
      </c>
      <c r="AE48" s="320">
        <f t="shared" si="8"/>
        <v>0</v>
      </c>
      <c r="AF48" s="320">
        <f t="shared" si="9"/>
        <v>0</v>
      </c>
      <c r="AG48" s="320">
        <f t="shared" si="10"/>
        <v>1</v>
      </c>
      <c r="AH48" s="427" t="s">
        <v>228</v>
      </c>
      <c r="AI48" s="320">
        <f t="shared" si="11"/>
        <v>1</v>
      </c>
      <c r="AJ48" s="320">
        <f t="shared" si="12"/>
        <v>0</v>
      </c>
      <c r="AK48" s="320">
        <f t="shared" si="13"/>
        <v>1</v>
      </c>
      <c r="AL48" s="320">
        <f t="shared" si="14"/>
        <v>0</v>
      </c>
      <c r="AM48" s="320">
        <f t="shared" si="15"/>
        <v>0</v>
      </c>
      <c r="AN48" s="320">
        <f t="shared" si="16"/>
        <v>0</v>
      </c>
      <c r="AO48" s="427">
        <v>0</v>
      </c>
      <c r="AP48" s="320">
        <f t="shared" si="17"/>
        <v>0</v>
      </c>
      <c r="AQ48" s="320">
        <f t="shared" si="18"/>
        <v>0</v>
      </c>
      <c r="AR48" s="320">
        <f t="shared" si="19"/>
        <v>0</v>
      </c>
      <c r="AS48" s="320">
        <f t="shared" si="20"/>
        <v>0</v>
      </c>
      <c r="AT48" s="320">
        <f t="shared" si="21"/>
        <v>0</v>
      </c>
      <c r="AU48" s="320">
        <f t="shared" si="22"/>
        <v>0</v>
      </c>
      <c r="AV48" s="427">
        <v>0</v>
      </c>
      <c r="AW48" s="320">
        <f t="shared" si="23"/>
        <v>0</v>
      </c>
      <c r="AX48" s="320">
        <f t="shared" si="24"/>
        <v>0</v>
      </c>
      <c r="AY48" s="320">
        <f t="shared" si="25"/>
        <v>0</v>
      </c>
      <c r="AZ48" s="320">
        <f t="shared" si="26"/>
        <v>0</v>
      </c>
      <c r="BA48" s="17">
        <v>1</v>
      </c>
      <c r="BB48" s="17" t="s">
        <v>1286</v>
      </c>
      <c r="BC48" s="17">
        <v>0</v>
      </c>
      <c r="BD48" s="17">
        <v>1</v>
      </c>
      <c r="BE48" s="17">
        <v>0</v>
      </c>
      <c r="BF48" s="17">
        <v>0</v>
      </c>
      <c r="BG48" s="428">
        <f t="shared" si="52"/>
        <v>0</v>
      </c>
      <c r="BH48" s="17"/>
      <c r="BI48" s="17">
        <v>1</v>
      </c>
      <c r="BJ48" s="17" t="s">
        <v>1133</v>
      </c>
      <c r="BK48" s="17"/>
      <c r="BL48" s="17">
        <v>1</v>
      </c>
      <c r="BM48" s="17" t="s">
        <v>1144</v>
      </c>
      <c r="BN48" s="320">
        <f t="shared" si="27"/>
        <v>1</v>
      </c>
      <c r="BO48" s="320">
        <f t="shared" si="28"/>
        <v>0</v>
      </c>
      <c r="BP48" s="427">
        <v>1</v>
      </c>
      <c r="BQ48" s="427" t="s">
        <v>1153</v>
      </c>
      <c r="BR48" s="320">
        <f t="shared" si="56"/>
        <v>1</v>
      </c>
      <c r="BS48" s="320">
        <f>IF(ISNUMBER(SEARCH("1",$BP48)),1,0)</f>
        <v>1</v>
      </c>
      <c r="BT48" s="427">
        <v>1</v>
      </c>
      <c r="BU48" s="320">
        <f t="shared" si="30"/>
        <v>1</v>
      </c>
      <c r="BV48" s="320">
        <f t="shared" si="31"/>
        <v>0</v>
      </c>
      <c r="BW48" s="320">
        <f t="shared" si="32"/>
        <v>0</v>
      </c>
      <c r="BX48" s="427" t="s">
        <v>226</v>
      </c>
      <c r="BY48" s="320">
        <f t="shared" si="33"/>
        <v>1</v>
      </c>
      <c r="BZ48" s="320">
        <f t="shared" si="34"/>
        <v>1</v>
      </c>
      <c r="CA48" s="320">
        <f t="shared" si="35"/>
        <v>1</v>
      </c>
      <c r="CB48" s="320">
        <f t="shared" si="36"/>
        <v>0</v>
      </c>
      <c r="CC48" s="427" t="s">
        <v>228</v>
      </c>
      <c r="CD48" s="320">
        <f t="shared" si="37"/>
        <v>1</v>
      </c>
      <c r="CE48" s="320">
        <f t="shared" si="38"/>
        <v>1</v>
      </c>
      <c r="CF48" s="320">
        <f t="shared" si="39"/>
        <v>0</v>
      </c>
      <c r="CG48" s="320">
        <f t="shared" si="40"/>
        <v>0</v>
      </c>
      <c r="CH48" s="427">
        <v>1</v>
      </c>
      <c r="CI48" s="427" t="s">
        <v>263</v>
      </c>
      <c r="CJ48" s="427" t="s">
        <v>263</v>
      </c>
      <c r="CK48" s="427">
        <v>0</v>
      </c>
      <c r="CL48" s="320">
        <f t="shared" si="53"/>
        <v>0</v>
      </c>
      <c r="CM48" s="320">
        <f t="shared" si="41"/>
        <v>0</v>
      </c>
      <c r="CN48" s="320">
        <f t="shared" si="42"/>
        <v>0</v>
      </c>
      <c r="CO48" s="320">
        <f t="shared" si="43"/>
        <v>0</v>
      </c>
      <c r="CP48" s="427">
        <v>1</v>
      </c>
      <c r="CQ48" s="427" t="s">
        <v>222</v>
      </c>
      <c r="CR48" s="320">
        <f t="shared" si="44"/>
        <v>1</v>
      </c>
      <c r="CS48" s="320">
        <f t="shared" si="45"/>
        <v>1</v>
      </c>
      <c r="CT48" s="320">
        <f t="shared" si="58"/>
        <v>1</v>
      </c>
      <c r="CU48" s="320">
        <f t="shared" si="59"/>
        <v>0</v>
      </c>
      <c r="CV48" s="427">
        <v>1</v>
      </c>
      <c r="CW48" s="17">
        <v>0</v>
      </c>
      <c r="CX48" s="320">
        <f t="shared" si="47"/>
        <v>0</v>
      </c>
      <c r="CY48" s="320">
        <f t="shared" si="48"/>
        <v>0</v>
      </c>
      <c r="CZ48" s="320">
        <f t="shared" si="49"/>
        <v>0</v>
      </c>
      <c r="DA48" s="17">
        <v>1</v>
      </c>
      <c r="DB48" s="17">
        <v>1</v>
      </c>
      <c r="DC48" s="17">
        <v>1</v>
      </c>
      <c r="DD48" s="31"/>
      <c r="DE48" s="321" t="s">
        <v>387</v>
      </c>
      <c r="DF48" s="321" t="s">
        <v>388</v>
      </c>
      <c r="DG48" s="321" t="s">
        <v>388</v>
      </c>
      <c r="DH48" s="321" t="s">
        <v>387</v>
      </c>
      <c r="DI48" s="321"/>
      <c r="DJ48" s="321" t="s">
        <v>388</v>
      </c>
      <c r="DK48" s="321" t="s">
        <v>442</v>
      </c>
      <c r="DL48" s="321" t="s">
        <v>388</v>
      </c>
      <c r="DM48" s="321" t="s">
        <v>443</v>
      </c>
      <c r="DN48" s="321" t="s">
        <v>388</v>
      </c>
      <c r="DO48" s="321" t="s">
        <v>388</v>
      </c>
      <c r="DP48" s="322"/>
      <c r="DQ48" s="386"/>
      <c r="DR48" s="240">
        <f>SUM(DS48:DX48)/6</f>
        <v>0.42958937198067632</v>
      </c>
      <c r="DS48" s="429">
        <f t="shared" si="50"/>
        <v>0.2608695652173913</v>
      </c>
      <c r="DT48" s="429">
        <f>SUM(BA48:BE48,BG48)/5</f>
        <v>0.4</v>
      </c>
      <c r="DU48" s="429">
        <f>SUM(BI48,BO48,BS48,BU48:BW48)/6</f>
        <v>0.5</v>
      </c>
      <c r="DV48" s="429">
        <f>SUM(BY48-CB48,CD48-CG48)/8</f>
        <v>0.25</v>
      </c>
      <c r="DW48" s="429">
        <f>SUM(CH48:CJ48,CL48:CO48,BN48,BR48)/9</f>
        <v>0.33333333333333331</v>
      </c>
      <c r="DX48" s="429">
        <f>SUM(CP48,CR48:CV48)/6</f>
        <v>0.83333333333333337</v>
      </c>
      <c r="DY48" s="444"/>
      <c r="DZ48" s="140" t="s">
        <v>692</v>
      </c>
      <c r="EA48" s="140" t="s">
        <v>693</v>
      </c>
      <c r="EB48" s="139" t="s">
        <v>790</v>
      </c>
      <c r="EC48" s="139" t="s">
        <v>779</v>
      </c>
      <c r="ED48" s="123">
        <v>3</v>
      </c>
      <c r="EG48" s="122"/>
      <c r="EH48" s="40">
        <v>1</v>
      </c>
      <c r="EI48" s="453">
        <v>2622050</v>
      </c>
      <c r="EJ48" s="33" t="e">
        <f t="shared" si="51"/>
        <v>#VALUE!</v>
      </c>
      <c r="EK48" s="42"/>
      <c r="EL48" s="42"/>
      <c r="EM48" s="42"/>
      <c r="EN48" s="454"/>
      <c r="EO48" s="454"/>
      <c r="EP48" s="454"/>
      <c r="EQ48" s="37" t="s">
        <v>386</v>
      </c>
      <c r="ER48" s="440">
        <v>1</v>
      </c>
      <c r="ES48" s="431"/>
      <c r="ET48" s="431">
        <v>1</v>
      </c>
      <c r="EU48" s="431">
        <v>1</v>
      </c>
      <c r="EV48" s="447"/>
      <c r="EZ48" s="393" t="s">
        <v>69</v>
      </c>
      <c r="FA48" s="393" t="s">
        <v>69</v>
      </c>
      <c r="FB48" s="389">
        <v>2564</v>
      </c>
      <c r="FC48" s="389">
        <v>2376</v>
      </c>
      <c r="FD48" s="389">
        <v>2491</v>
      </c>
      <c r="FE48" s="389">
        <v>2605</v>
      </c>
      <c r="FF48" s="389">
        <v>2756</v>
      </c>
      <c r="FG48" s="390">
        <v>9.6801346801346812E-3</v>
      </c>
      <c r="FH48" s="390">
        <v>9.1529506222400633E-3</v>
      </c>
      <c r="FI48" s="390">
        <v>1.1593090211132438E-2</v>
      </c>
      <c r="FJ48" s="391" t="s">
        <v>1389</v>
      </c>
      <c r="FK48" s="391">
        <v>0.26659595245310996</v>
      </c>
      <c r="FL48" s="31" t="s">
        <v>1396</v>
      </c>
      <c r="FN48" s="128" t="s">
        <v>1479</v>
      </c>
      <c r="FO48" s="128" t="s">
        <v>1480</v>
      </c>
      <c r="FP48" s="128"/>
    </row>
    <row r="49" spans="1:177" ht="22" hidden="1" customHeight="1" x14ac:dyDescent="0.2">
      <c r="A49" s="13" t="s">
        <v>10</v>
      </c>
      <c r="B49" s="14" t="s">
        <v>39</v>
      </c>
      <c r="C49" s="14"/>
      <c r="D49" s="14" t="s">
        <v>1068</v>
      </c>
      <c r="E49" s="128" t="s">
        <v>912</v>
      </c>
      <c r="F49" s="15" t="s">
        <v>639</v>
      </c>
      <c r="G49" s="15" t="s">
        <v>635</v>
      </c>
      <c r="H49" s="91">
        <v>0</v>
      </c>
      <c r="I49" s="95">
        <f t="shared" si="1"/>
        <v>2</v>
      </c>
      <c r="J49" s="91"/>
      <c r="K49" s="256">
        <f t="shared" si="2"/>
        <v>2</v>
      </c>
      <c r="L49" s="101" t="s">
        <v>679</v>
      </c>
      <c r="M49" s="99">
        <v>1</v>
      </c>
      <c r="N49" s="26">
        <v>5000000</v>
      </c>
      <c r="O49" s="98" t="str">
        <f t="shared" si="3"/>
        <v>_x000D__x000D_</v>
      </c>
      <c r="P49" s="144" t="str">
        <f t="shared" si="61"/>
        <v xml:space="preserve">- Restauration des forêts classées avec l’implication des communautés locales_x000D_- Facilitation de la réhabilitation des terres dégradées et du reboisement des zones de savanes, et renforcer les stocks de carbone dans les forêts dégradées à travers la promotion du reboisement villageois_x000D_-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territoires._x000D_- Découplage de la production agricole et de la déforestation via la promotion de pratiques agricoles intensives à impacts réduits sur l’environnement et l’agroforesterie. Concrétisation du concept « Agriculture zéro déforestation » et valorisation des produits associés._x000D__x000D_  </v>
      </c>
      <c r="Q49" s="55"/>
      <c r="R49" s="64" t="s">
        <v>918</v>
      </c>
      <c r="S49" s="425"/>
      <c r="T49" s="300" t="s">
        <v>925</v>
      </c>
      <c r="U49" s="300" t="s">
        <v>906</v>
      </c>
      <c r="V49" s="312" t="s">
        <v>962</v>
      </c>
      <c r="W49" s="258">
        <v>0</v>
      </c>
      <c r="X49" s="307" t="s">
        <v>992</v>
      </c>
      <c r="Y49" s="297"/>
      <c r="Z49" s="426">
        <v>1</v>
      </c>
      <c r="AA49" s="320">
        <f t="shared" si="4"/>
        <v>1</v>
      </c>
      <c r="AB49" s="320">
        <f t="shared" si="5"/>
        <v>0</v>
      </c>
      <c r="AC49" s="320">
        <f t="shared" si="6"/>
        <v>0</v>
      </c>
      <c r="AD49" s="320">
        <f t="shared" si="7"/>
        <v>0</v>
      </c>
      <c r="AE49" s="320">
        <f t="shared" si="8"/>
        <v>0</v>
      </c>
      <c r="AF49" s="320">
        <f t="shared" si="9"/>
        <v>0</v>
      </c>
      <c r="AG49" s="320">
        <f t="shared" si="10"/>
        <v>0</v>
      </c>
      <c r="AH49" s="427">
        <v>1</v>
      </c>
      <c r="AI49" s="320">
        <f t="shared" si="11"/>
        <v>1</v>
      </c>
      <c r="AJ49" s="320">
        <f t="shared" si="12"/>
        <v>0</v>
      </c>
      <c r="AK49" s="320">
        <f t="shared" si="13"/>
        <v>0</v>
      </c>
      <c r="AL49" s="320">
        <f t="shared" si="14"/>
        <v>0</v>
      </c>
      <c r="AM49" s="320">
        <f t="shared" si="15"/>
        <v>0</v>
      </c>
      <c r="AN49" s="320">
        <f t="shared" si="16"/>
        <v>0</v>
      </c>
      <c r="AO49" s="427">
        <v>1</v>
      </c>
      <c r="AP49" s="320">
        <f t="shared" si="17"/>
        <v>1</v>
      </c>
      <c r="AQ49" s="320">
        <f t="shared" si="18"/>
        <v>0</v>
      </c>
      <c r="AR49" s="320">
        <f t="shared" si="19"/>
        <v>0</v>
      </c>
      <c r="AS49" s="320">
        <f t="shared" si="20"/>
        <v>0</v>
      </c>
      <c r="AT49" s="320">
        <f t="shared" si="21"/>
        <v>0</v>
      </c>
      <c r="AU49" s="320">
        <f t="shared" si="22"/>
        <v>0</v>
      </c>
      <c r="AV49" s="427">
        <v>1</v>
      </c>
      <c r="AW49" s="320">
        <f t="shared" si="23"/>
        <v>1</v>
      </c>
      <c r="AX49" s="320">
        <f t="shared" si="24"/>
        <v>0</v>
      </c>
      <c r="AY49" s="320">
        <f t="shared" si="25"/>
        <v>0</v>
      </c>
      <c r="AZ49" s="320">
        <f t="shared" si="26"/>
        <v>0</v>
      </c>
      <c r="BA49" s="17">
        <v>1</v>
      </c>
      <c r="BB49" s="17" t="s">
        <v>1266</v>
      </c>
      <c r="BC49" s="17">
        <v>1</v>
      </c>
      <c r="BD49" s="17">
        <v>1</v>
      </c>
      <c r="BE49" s="17">
        <v>0</v>
      </c>
      <c r="BF49" s="17" t="s">
        <v>815</v>
      </c>
      <c r="BG49" s="428">
        <f t="shared" si="52"/>
        <v>1</v>
      </c>
      <c r="BH49" s="17">
        <v>0</v>
      </c>
      <c r="BI49" s="17">
        <v>1</v>
      </c>
      <c r="BJ49" s="17" t="s">
        <v>906</v>
      </c>
      <c r="BK49" s="17"/>
      <c r="BL49" s="17">
        <v>0</v>
      </c>
      <c r="BM49" s="17" t="s">
        <v>834</v>
      </c>
      <c r="BN49" s="320">
        <f t="shared" si="27"/>
        <v>0</v>
      </c>
      <c r="BO49" s="320">
        <f t="shared" si="28"/>
        <v>0</v>
      </c>
      <c r="BP49" s="427">
        <v>1</v>
      </c>
      <c r="BQ49" s="427" t="s">
        <v>1183</v>
      </c>
      <c r="BR49" s="320">
        <f t="shared" si="56"/>
        <v>1</v>
      </c>
      <c r="BS49" s="320">
        <v>0</v>
      </c>
      <c r="BT49" s="427">
        <v>1</v>
      </c>
      <c r="BU49" s="320">
        <f t="shared" si="30"/>
        <v>1</v>
      </c>
      <c r="BV49" s="320">
        <f t="shared" si="31"/>
        <v>0</v>
      </c>
      <c r="BW49" s="320">
        <f t="shared" si="32"/>
        <v>0</v>
      </c>
      <c r="BX49" s="427">
        <v>1</v>
      </c>
      <c r="BY49" s="320">
        <f t="shared" si="33"/>
        <v>1</v>
      </c>
      <c r="BZ49" s="320">
        <f t="shared" si="34"/>
        <v>0</v>
      </c>
      <c r="CA49" s="320">
        <f t="shared" si="35"/>
        <v>0</v>
      </c>
      <c r="CB49" s="320">
        <f t="shared" si="36"/>
        <v>0</v>
      </c>
      <c r="CC49" s="427">
        <v>0</v>
      </c>
      <c r="CD49" s="320">
        <f t="shared" si="37"/>
        <v>0</v>
      </c>
      <c r="CE49" s="320">
        <f t="shared" si="38"/>
        <v>0</v>
      </c>
      <c r="CF49" s="320">
        <f t="shared" si="39"/>
        <v>0</v>
      </c>
      <c r="CG49" s="320">
        <f t="shared" si="40"/>
        <v>0</v>
      </c>
      <c r="CH49" s="427">
        <v>0</v>
      </c>
      <c r="CI49" s="427">
        <v>0</v>
      </c>
      <c r="CJ49" s="427">
        <v>0</v>
      </c>
      <c r="CK49" s="427">
        <v>1</v>
      </c>
      <c r="CL49" s="320">
        <f t="shared" si="53"/>
        <v>1</v>
      </c>
      <c r="CM49" s="320">
        <f t="shared" si="41"/>
        <v>0</v>
      </c>
      <c r="CN49" s="320">
        <f t="shared" si="42"/>
        <v>0</v>
      </c>
      <c r="CO49" s="320">
        <f t="shared" si="43"/>
        <v>0</v>
      </c>
      <c r="CP49" s="427">
        <v>1</v>
      </c>
      <c r="CQ49" s="427" t="s">
        <v>816</v>
      </c>
      <c r="CR49" s="320">
        <f t="shared" si="44"/>
        <v>1</v>
      </c>
      <c r="CS49" s="320">
        <f t="shared" si="45"/>
        <v>0</v>
      </c>
      <c r="CT49" s="320">
        <f t="shared" si="58"/>
        <v>1</v>
      </c>
      <c r="CU49" s="320">
        <f t="shared" si="59"/>
        <v>0</v>
      </c>
      <c r="CV49" s="427">
        <v>1</v>
      </c>
      <c r="CW49" s="17">
        <v>1</v>
      </c>
      <c r="CX49" s="320">
        <f t="shared" si="47"/>
        <v>1</v>
      </c>
      <c r="CY49" s="320">
        <f t="shared" si="48"/>
        <v>0</v>
      </c>
      <c r="CZ49" s="320">
        <f t="shared" si="49"/>
        <v>0</v>
      </c>
      <c r="DA49" s="17"/>
      <c r="DB49" s="17"/>
      <c r="DC49" s="17"/>
      <c r="DD49" s="31"/>
      <c r="DE49" s="323" t="s">
        <v>387</v>
      </c>
      <c r="DF49" s="323" t="s">
        <v>387</v>
      </c>
      <c r="DG49" s="323" t="s">
        <v>821</v>
      </c>
      <c r="DH49" s="323" t="s">
        <v>387</v>
      </c>
      <c r="DI49" s="323"/>
      <c r="DJ49" s="323" t="s">
        <v>387</v>
      </c>
      <c r="DK49" s="323">
        <v>1</v>
      </c>
      <c r="DL49" s="323">
        <v>1</v>
      </c>
      <c r="DM49" s="380">
        <v>1</v>
      </c>
      <c r="DN49" s="323" t="s">
        <v>387</v>
      </c>
      <c r="DO49" s="323" t="s">
        <v>821</v>
      </c>
      <c r="DP49" s="324">
        <v>0</v>
      </c>
      <c r="DQ49" s="383"/>
      <c r="DR49" s="239">
        <f>SUM(DS49:DX49)/6</f>
        <v>0.38685587761674717</v>
      </c>
      <c r="DS49" s="429">
        <f t="shared" si="50"/>
        <v>0.17391304347826086</v>
      </c>
      <c r="DT49" s="448">
        <f>SUM(BA49:BE49,BG49)/5</f>
        <v>0.8</v>
      </c>
      <c r="DU49" s="429">
        <f>SUM(BI49,BO49,BS49,BU49:BW49)/6</f>
        <v>0.33333333333333331</v>
      </c>
      <c r="DV49" s="429">
        <f>SUM(BY49-CB49,CD49-CG49)/8</f>
        <v>0.125</v>
      </c>
      <c r="DW49" s="429">
        <f>SUM(CH49:CJ49,CL49:CO49,BN49,BR49)/9</f>
        <v>0.22222222222222221</v>
      </c>
      <c r="DX49" s="429">
        <f>SUM(CP49,CR49:CV49)/6</f>
        <v>0.66666666666666663</v>
      </c>
      <c r="DY49" s="133"/>
      <c r="DZ49" s="134"/>
      <c r="EA49" s="134"/>
      <c r="EB49" s="134"/>
      <c r="EC49" s="134"/>
      <c r="ED49" s="123"/>
      <c r="EG49" s="122"/>
      <c r="EH49" s="52">
        <v>1</v>
      </c>
      <c r="EI49" s="453">
        <v>1253077</v>
      </c>
      <c r="EJ49" s="33" t="e">
        <f t="shared" si="51"/>
        <v>#VALUE!</v>
      </c>
      <c r="EK49" s="42"/>
      <c r="EL49" s="42"/>
      <c r="EM49" s="42"/>
      <c r="EN49" s="454"/>
      <c r="EO49" s="454"/>
      <c r="EP49" s="454"/>
      <c r="EQ49" s="37" t="s">
        <v>451</v>
      </c>
      <c r="ER49" s="440">
        <v>0</v>
      </c>
      <c r="ES49" s="431"/>
      <c r="ET49" s="431">
        <v>1</v>
      </c>
      <c r="EU49" s="431">
        <v>1</v>
      </c>
      <c r="EV49" s="447"/>
      <c r="EZ49" s="393" t="s">
        <v>1378</v>
      </c>
      <c r="FA49" s="393" t="s">
        <v>912</v>
      </c>
      <c r="FB49" s="389">
        <v>10222</v>
      </c>
      <c r="FC49" s="389">
        <v>10328</v>
      </c>
      <c r="FD49" s="389">
        <v>10405</v>
      </c>
      <c r="FE49" s="389">
        <v>10403</v>
      </c>
      <c r="FF49" s="389">
        <v>10401</v>
      </c>
      <c r="FG49" s="390">
        <v>1.4910921766072812E-3</v>
      </c>
      <c r="FH49" s="390">
        <v>-3.8443056222969725E-5</v>
      </c>
      <c r="FI49" s="390">
        <v>-3.8450446986446215E-5</v>
      </c>
      <c r="FJ49" s="391">
        <v>1.9225223493218779E-4</v>
      </c>
      <c r="FK49" s="391" t="s">
        <v>1386</v>
      </c>
      <c r="FL49" s="31" t="s">
        <v>1379</v>
      </c>
      <c r="FN49" s="127" t="s">
        <v>1481</v>
      </c>
      <c r="FO49" s="127" t="s">
        <v>1482</v>
      </c>
      <c r="FP49" s="127"/>
    </row>
    <row r="50" spans="1:177" ht="22" customHeight="1" x14ac:dyDescent="0.2">
      <c r="A50" s="13" t="s">
        <v>7</v>
      </c>
      <c r="B50" s="14" t="s">
        <v>8</v>
      </c>
      <c r="C50" s="14"/>
      <c r="D50" s="14"/>
      <c r="E50" s="215" t="s">
        <v>70</v>
      </c>
      <c r="F50" s="15" t="s">
        <v>1355</v>
      </c>
      <c r="G50" s="15" t="s">
        <v>634</v>
      </c>
      <c r="H50" s="91">
        <f t="shared" ref="H50:H60" si="62">IF(G50="YES",0,1)</f>
        <v>1</v>
      </c>
      <c r="I50" s="95">
        <f t="shared" si="1"/>
        <v>0</v>
      </c>
      <c r="J50" s="92"/>
      <c r="K50" s="256">
        <f t="shared" si="2"/>
        <v>1</v>
      </c>
      <c r="L50" s="366">
        <v>0</v>
      </c>
      <c r="M50" s="368"/>
      <c r="N50" s="155">
        <v>0</v>
      </c>
      <c r="O50" s="158" t="str">
        <f t="shared" si="3"/>
        <v>N/A or not found_x000D__x000D_</v>
      </c>
      <c r="P50" s="144" t="str">
        <f t="shared" si="61"/>
        <v>N/A or not found_x000D__x000D_</v>
      </c>
      <c r="Q50" s="360" t="s">
        <v>925</v>
      </c>
      <c r="R50" s="64" t="s">
        <v>918</v>
      </c>
      <c r="S50" s="432"/>
      <c r="T50" s="300" t="s">
        <v>925</v>
      </c>
      <c r="U50" s="300" t="s">
        <v>925</v>
      </c>
      <c r="V50" s="304" t="s">
        <v>925</v>
      </c>
      <c r="W50" s="258"/>
      <c r="X50" s="306" t="s">
        <v>834</v>
      </c>
      <c r="Y50" s="295"/>
      <c r="Z50" s="426">
        <v>1</v>
      </c>
      <c r="AA50" s="320">
        <f t="shared" si="4"/>
        <v>1</v>
      </c>
      <c r="AB50" s="320">
        <f t="shared" si="5"/>
        <v>0</v>
      </c>
      <c r="AC50" s="320">
        <f t="shared" si="6"/>
        <v>0</v>
      </c>
      <c r="AD50" s="320">
        <f t="shared" si="7"/>
        <v>0</v>
      </c>
      <c r="AE50" s="320">
        <f t="shared" si="8"/>
        <v>0</v>
      </c>
      <c r="AF50" s="320">
        <f t="shared" si="9"/>
        <v>0</v>
      </c>
      <c r="AG50" s="320">
        <v>0</v>
      </c>
      <c r="AH50" s="427">
        <v>0</v>
      </c>
      <c r="AI50" s="320">
        <f t="shared" si="11"/>
        <v>0</v>
      </c>
      <c r="AJ50" s="320">
        <f t="shared" si="12"/>
        <v>0</v>
      </c>
      <c r="AK50" s="320">
        <f t="shared" si="13"/>
        <v>0</v>
      </c>
      <c r="AL50" s="320">
        <f t="shared" si="14"/>
        <v>0</v>
      </c>
      <c r="AM50" s="320">
        <f t="shared" si="15"/>
        <v>0</v>
      </c>
      <c r="AN50" s="320">
        <f t="shared" si="16"/>
        <v>0</v>
      </c>
      <c r="AO50" s="427">
        <v>0</v>
      </c>
      <c r="AP50" s="320">
        <f t="shared" si="17"/>
        <v>0</v>
      </c>
      <c r="AQ50" s="320">
        <f t="shared" si="18"/>
        <v>0</v>
      </c>
      <c r="AR50" s="320">
        <f t="shared" si="19"/>
        <v>0</v>
      </c>
      <c r="AS50" s="320">
        <f t="shared" si="20"/>
        <v>0</v>
      </c>
      <c r="AT50" s="320">
        <f t="shared" si="21"/>
        <v>0</v>
      </c>
      <c r="AU50" s="320">
        <f t="shared" si="22"/>
        <v>0</v>
      </c>
      <c r="AV50" s="427">
        <v>0</v>
      </c>
      <c r="AW50" s="320">
        <f t="shared" si="23"/>
        <v>0</v>
      </c>
      <c r="AX50" s="320">
        <f t="shared" si="24"/>
        <v>0</v>
      </c>
      <c r="AY50" s="320">
        <f t="shared" si="25"/>
        <v>0</v>
      </c>
      <c r="AZ50" s="320">
        <f t="shared" si="26"/>
        <v>0</v>
      </c>
      <c r="BA50" s="17">
        <v>0</v>
      </c>
      <c r="BB50" s="17" t="s">
        <v>834</v>
      </c>
      <c r="BC50" s="17">
        <v>0</v>
      </c>
      <c r="BD50" s="17">
        <v>0</v>
      </c>
      <c r="BE50" s="17">
        <v>0</v>
      </c>
      <c r="BF50" s="17">
        <v>0</v>
      </c>
      <c r="BG50" s="428">
        <f t="shared" si="52"/>
        <v>0</v>
      </c>
      <c r="BH50" s="17">
        <v>0</v>
      </c>
      <c r="BI50" s="17">
        <v>0</v>
      </c>
      <c r="BJ50" s="17" t="s">
        <v>834</v>
      </c>
      <c r="BK50" s="17">
        <v>0</v>
      </c>
      <c r="BL50" s="17">
        <v>0</v>
      </c>
      <c r="BM50" s="17" t="s">
        <v>834</v>
      </c>
      <c r="BN50" s="320">
        <f t="shared" si="27"/>
        <v>0</v>
      </c>
      <c r="BO50" s="320">
        <f t="shared" si="28"/>
        <v>0</v>
      </c>
      <c r="BP50" s="427">
        <v>0</v>
      </c>
      <c r="BQ50" s="427" t="s">
        <v>834</v>
      </c>
      <c r="BR50" s="320">
        <f t="shared" si="56"/>
        <v>0</v>
      </c>
      <c r="BS50" s="320">
        <f>IF(ISNUMBER(SEARCH("1",$BP50)),1,0)</f>
        <v>0</v>
      </c>
      <c r="BT50" s="427">
        <v>0</v>
      </c>
      <c r="BU50" s="320">
        <f t="shared" si="30"/>
        <v>0</v>
      </c>
      <c r="BV50" s="320">
        <f t="shared" si="31"/>
        <v>0</v>
      </c>
      <c r="BW50" s="320">
        <f t="shared" si="32"/>
        <v>0</v>
      </c>
      <c r="BX50" s="427">
        <v>0</v>
      </c>
      <c r="BY50" s="320">
        <f t="shared" si="33"/>
        <v>0</v>
      </c>
      <c r="BZ50" s="320">
        <f t="shared" si="34"/>
        <v>0</v>
      </c>
      <c r="CA50" s="320">
        <f t="shared" si="35"/>
        <v>0</v>
      </c>
      <c r="CB50" s="320">
        <f t="shared" si="36"/>
        <v>0</v>
      </c>
      <c r="CC50" s="427">
        <v>0</v>
      </c>
      <c r="CD50" s="320">
        <f t="shared" si="37"/>
        <v>0</v>
      </c>
      <c r="CE50" s="320">
        <f t="shared" si="38"/>
        <v>0</v>
      </c>
      <c r="CF50" s="320">
        <f t="shared" si="39"/>
        <v>0</v>
      </c>
      <c r="CG50" s="320">
        <f t="shared" si="40"/>
        <v>0</v>
      </c>
      <c r="CH50" s="427">
        <v>0</v>
      </c>
      <c r="CI50" s="427">
        <v>0</v>
      </c>
      <c r="CJ50" s="427">
        <v>0</v>
      </c>
      <c r="CK50" s="427">
        <v>0</v>
      </c>
      <c r="CL50" s="320">
        <f t="shared" si="53"/>
        <v>0</v>
      </c>
      <c r="CM50" s="320">
        <f t="shared" si="41"/>
        <v>0</v>
      </c>
      <c r="CN50" s="320">
        <f t="shared" si="42"/>
        <v>0</v>
      </c>
      <c r="CO50" s="320">
        <f t="shared" si="43"/>
        <v>0</v>
      </c>
      <c r="CP50" s="427">
        <v>0</v>
      </c>
      <c r="CQ50" s="427">
        <v>0</v>
      </c>
      <c r="CR50" s="320">
        <f t="shared" si="44"/>
        <v>0</v>
      </c>
      <c r="CS50" s="320">
        <f t="shared" si="45"/>
        <v>0</v>
      </c>
      <c r="CT50" s="320">
        <f t="shared" si="58"/>
        <v>0</v>
      </c>
      <c r="CU50" s="320">
        <f t="shared" si="59"/>
        <v>0</v>
      </c>
      <c r="CV50" s="427">
        <v>0</v>
      </c>
      <c r="CW50" s="17">
        <v>4</v>
      </c>
      <c r="CX50" s="320">
        <f t="shared" si="47"/>
        <v>0</v>
      </c>
      <c r="CY50" s="320">
        <f t="shared" si="48"/>
        <v>0</v>
      </c>
      <c r="CZ50" s="320">
        <f t="shared" si="49"/>
        <v>0</v>
      </c>
      <c r="DA50" s="17">
        <v>1</v>
      </c>
      <c r="DB50" s="17">
        <v>1</v>
      </c>
      <c r="DC50" s="17">
        <v>0</v>
      </c>
      <c r="DD50" s="31"/>
      <c r="DE50" s="349" t="s">
        <v>388</v>
      </c>
      <c r="DF50" s="349" t="s">
        <v>388</v>
      </c>
      <c r="DG50" s="349" t="s">
        <v>388</v>
      </c>
      <c r="DH50" s="349" t="s">
        <v>388</v>
      </c>
      <c r="DI50" s="349" t="s">
        <v>388</v>
      </c>
      <c r="DJ50" s="349" t="s">
        <v>388</v>
      </c>
      <c r="DK50" s="357" t="s">
        <v>1110</v>
      </c>
      <c r="DL50" s="349" t="s">
        <v>388</v>
      </c>
      <c r="DM50" s="349" t="s">
        <v>388</v>
      </c>
      <c r="DN50" s="349" t="s">
        <v>388</v>
      </c>
      <c r="DO50" s="349" t="s">
        <v>388</v>
      </c>
      <c r="DP50" s="348">
        <v>1</v>
      </c>
      <c r="DQ50" s="354"/>
      <c r="DR50" s="239">
        <f>SUM(DS50:DX50)/6</f>
        <v>7.246376811594203E-3</v>
      </c>
      <c r="DS50" s="429">
        <f t="shared" si="50"/>
        <v>4.3478260869565216E-2</v>
      </c>
      <c r="DT50" s="429">
        <f>SUM(BA50:BE50,BG50)/5</f>
        <v>0</v>
      </c>
      <c r="DU50" s="429">
        <f>SUM(BI50,BO50,BS50,BU50:BW50)/6</f>
        <v>0</v>
      </c>
      <c r="DV50" s="429">
        <f>SUM(BY50-CB50,CD50-CG50)/8</f>
        <v>0</v>
      </c>
      <c r="DW50" s="429">
        <f>SUM(CH50:CJ50,CL50:CO50,BN50,BR50)/9</f>
        <v>0</v>
      </c>
      <c r="DX50" s="429">
        <f>SUM(CP50,CR50:CV50)/6</f>
        <v>0</v>
      </c>
      <c r="DY50" s="169"/>
      <c r="DZ50" s="135"/>
      <c r="EA50" s="135"/>
      <c r="EB50" s="135"/>
      <c r="EC50" s="135"/>
      <c r="ED50" s="135"/>
      <c r="EG50" s="132"/>
      <c r="EH50" s="52">
        <v>1</v>
      </c>
      <c r="EI50" s="453">
        <v>3989465</v>
      </c>
      <c r="EJ50" s="33" t="b">
        <f t="shared" si="51"/>
        <v>0</v>
      </c>
      <c r="EK50" s="42"/>
      <c r="EL50" s="42"/>
      <c r="EM50" s="42"/>
      <c r="EN50" s="36" t="s">
        <v>432</v>
      </c>
      <c r="EO50" s="36"/>
      <c r="EP50" s="36" t="s">
        <v>385</v>
      </c>
      <c r="EQ50" s="37" t="s">
        <v>454</v>
      </c>
      <c r="ER50" s="440">
        <v>0</v>
      </c>
      <c r="ES50" s="431">
        <v>0</v>
      </c>
      <c r="ET50" s="431">
        <v>1</v>
      </c>
      <c r="EU50" s="431">
        <v>1</v>
      </c>
      <c r="EV50" s="447">
        <v>0</v>
      </c>
      <c r="EZ50" s="393" t="s">
        <v>70</v>
      </c>
      <c r="FA50" s="393" t="s">
        <v>70</v>
      </c>
      <c r="FB50" s="389">
        <v>1850</v>
      </c>
      <c r="FC50" s="389">
        <v>1885</v>
      </c>
      <c r="FD50" s="389">
        <v>1903</v>
      </c>
      <c r="FE50" s="389">
        <v>1920</v>
      </c>
      <c r="FF50" s="389">
        <v>1922</v>
      </c>
      <c r="FG50" s="390">
        <v>1.909814323607427E-3</v>
      </c>
      <c r="FH50" s="390">
        <v>1.7866526537046769E-3</v>
      </c>
      <c r="FI50" s="390">
        <v>2.0833333333333332E-4</v>
      </c>
      <c r="FJ50" s="391" t="s">
        <v>1389</v>
      </c>
      <c r="FK50" s="391">
        <v>-0.88339460784313728</v>
      </c>
      <c r="FL50" s="31" t="s">
        <v>1394</v>
      </c>
      <c r="FN50" s="215" t="s">
        <v>1483</v>
      </c>
      <c r="FO50" s="215" t="s">
        <v>1484</v>
      </c>
      <c r="FP50" s="215" t="s">
        <v>1346</v>
      </c>
      <c r="FR50" s="402">
        <v>1</v>
      </c>
      <c r="FS50" s="402">
        <v>0</v>
      </c>
      <c r="FT50" s="402">
        <v>1</v>
      </c>
      <c r="FU50" s="402">
        <v>1</v>
      </c>
    </row>
    <row r="51" spans="1:177" ht="22" hidden="1" customHeight="1" x14ac:dyDescent="0.2">
      <c r="A51" s="16" t="s">
        <v>16</v>
      </c>
      <c r="B51" s="19" t="s">
        <v>17</v>
      </c>
      <c r="C51" s="19"/>
      <c r="D51" s="19"/>
      <c r="E51" s="128" t="s">
        <v>71</v>
      </c>
      <c r="F51" s="15" t="s">
        <v>637</v>
      </c>
      <c r="G51" s="15" t="s">
        <v>634</v>
      </c>
      <c r="H51" s="91">
        <f t="shared" si="62"/>
        <v>1</v>
      </c>
      <c r="I51" s="95">
        <f t="shared" si="1"/>
        <v>2</v>
      </c>
      <c r="J51" s="91"/>
      <c r="K51" s="256">
        <f t="shared" si="2"/>
        <v>3</v>
      </c>
      <c r="L51" s="101" t="s">
        <v>640</v>
      </c>
      <c r="M51" s="99"/>
      <c r="N51" s="443">
        <v>1000000</v>
      </c>
      <c r="O51" s="98" t="str">
        <f t="shared" si="3"/>
        <v>_x000D__x000D_</v>
      </c>
      <c r="P51" s="144" t="str">
        <f t="shared" si="61"/>
        <v>Los bosques influyen grandemente dentro de las emisiones netas de inventario de GEI en Cuba, al remover aproximadamente 14,3 millones de toneladas de CO2 de acuerdo a los datos del último inventario. Ello es fruto del crecimiento sostenido de la cubierta boscosa en Cuba, desde un 13,9% del territorio, al triunfo de la Revolución, hasta 29.4% en 2014. _x000D__x000D_Recuperar las áreas de manglares más afectadas del archipiélago cubano y detener en lo posible el deterioro de las crestas de arrecifes de coral.</v>
      </c>
      <c r="Q51" s="55"/>
      <c r="R51" s="64" t="s">
        <v>918</v>
      </c>
      <c r="S51" s="425"/>
      <c r="T51" s="300" t="s">
        <v>925</v>
      </c>
      <c r="U51" s="300" t="s">
        <v>925</v>
      </c>
      <c r="V51" s="301" t="s">
        <v>941</v>
      </c>
      <c r="W51" s="258"/>
      <c r="X51" s="307" t="s">
        <v>444</v>
      </c>
      <c r="Y51" s="274"/>
      <c r="Z51" s="426" t="s">
        <v>226</v>
      </c>
      <c r="AA51" s="320">
        <f t="shared" si="4"/>
        <v>1</v>
      </c>
      <c r="AB51" s="320">
        <f t="shared" si="5"/>
        <v>0</v>
      </c>
      <c r="AC51" s="320">
        <f t="shared" si="6"/>
        <v>1</v>
      </c>
      <c r="AD51" s="320">
        <f t="shared" si="7"/>
        <v>0</v>
      </c>
      <c r="AE51" s="320">
        <f t="shared" si="8"/>
        <v>1</v>
      </c>
      <c r="AF51" s="320">
        <f t="shared" si="9"/>
        <v>0</v>
      </c>
      <c r="AG51" s="320">
        <f t="shared" ref="AG51:AG114" si="63">IF(ISNUMBER(SEARCH("s",$Z51)),1,0)</f>
        <v>0</v>
      </c>
      <c r="AH51" s="427">
        <v>1</v>
      </c>
      <c r="AI51" s="320">
        <f t="shared" si="11"/>
        <v>1</v>
      </c>
      <c r="AJ51" s="320">
        <f t="shared" si="12"/>
        <v>0</v>
      </c>
      <c r="AK51" s="320">
        <f t="shared" si="13"/>
        <v>0</v>
      </c>
      <c r="AL51" s="320">
        <f t="shared" si="14"/>
        <v>0</v>
      </c>
      <c r="AM51" s="320">
        <f t="shared" si="15"/>
        <v>0</v>
      </c>
      <c r="AN51" s="320">
        <f t="shared" si="16"/>
        <v>0</v>
      </c>
      <c r="AO51" s="427">
        <v>0</v>
      </c>
      <c r="AP51" s="320">
        <f t="shared" si="17"/>
        <v>0</v>
      </c>
      <c r="AQ51" s="320">
        <f t="shared" si="18"/>
        <v>0</v>
      </c>
      <c r="AR51" s="320">
        <f t="shared" si="19"/>
        <v>0</v>
      </c>
      <c r="AS51" s="320">
        <f t="shared" si="20"/>
        <v>0</v>
      </c>
      <c r="AT51" s="320">
        <f t="shared" si="21"/>
        <v>0</v>
      </c>
      <c r="AU51" s="320">
        <f t="shared" si="22"/>
        <v>0</v>
      </c>
      <c r="AV51" s="427">
        <v>0</v>
      </c>
      <c r="AW51" s="320">
        <f t="shared" si="23"/>
        <v>0</v>
      </c>
      <c r="AX51" s="320">
        <f t="shared" si="24"/>
        <v>0</v>
      </c>
      <c r="AY51" s="320">
        <f t="shared" si="25"/>
        <v>0</v>
      </c>
      <c r="AZ51" s="320">
        <f t="shared" si="26"/>
        <v>0</v>
      </c>
      <c r="BA51" s="17">
        <v>0</v>
      </c>
      <c r="BB51" s="17" t="s">
        <v>834</v>
      </c>
      <c r="BC51" s="17">
        <v>0</v>
      </c>
      <c r="BD51" s="17">
        <v>0</v>
      </c>
      <c r="BE51" s="17">
        <v>0</v>
      </c>
      <c r="BF51" s="17">
        <v>0</v>
      </c>
      <c r="BG51" s="428">
        <f t="shared" si="52"/>
        <v>0</v>
      </c>
      <c r="BH51" s="17"/>
      <c r="BI51" s="17">
        <v>0</v>
      </c>
      <c r="BJ51" s="17" t="s">
        <v>834</v>
      </c>
      <c r="BK51" s="17"/>
      <c r="BL51" s="17">
        <v>0</v>
      </c>
      <c r="BM51" s="17" t="s">
        <v>834</v>
      </c>
      <c r="BN51" s="320">
        <f t="shared" si="27"/>
        <v>0</v>
      </c>
      <c r="BO51" s="320">
        <f t="shared" si="28"/>
        <v>0</v>
      </c>
      <c r="BP51" s="427">
        <v>0</v>
      </c>
      <c r="BQ51" s="427" t="s">
        <v>834</v>
      </c>
      <c r="BR51" s="320">
        <f t="shared" si="56"/>
        <v>0</v>
      </c>
      <c r="BS51" s="320">
        <f>IF(ISNUMBER(SEARCH("1",$BP51)),1,0)</f>
        <v>0</v>
      </c>
      <c r="BT51" s="427">
        <v>0</v>
      </c>
      <c r="BU51" s="320">
        <f t="shared" si="30"/>
        <v>0</v>
      </c>
      <c r="BV51" s="320">
        <f t="shared" si="31"/>
        <v>0</v>
      </c>
      <c r="BW51" s="320">
        <f t="shared" si="32"/>
        <v>0</v>
      </c>
      <c r="BX51" s="427" t="s">
        <v>222</v>
      </c>
      <c r="BY51" s="320">
        <f t="shared" si="33"/>
        <v>1</v>
      </c>
      <c r="BZ51" s="320">
        <f t="shared" si="34"/>
        <v>1</v>
      </c>
      <c r="CA51" s="320">
        <f t="shared" si="35"/>
        <v>0</v>
      </c>
      <c r="CB51" s="320">
        <f t="shared" si="36"/>
        <v>1</v>
      </c>
      <c r="CC51" s="427">
        <v>0</v>
      </c>
      <c r="CD51" s="320">
        <f t="shared" si="37"/>
        <v>0</v>
      </c>
      <c r="CE51" s="320">
        <f t="shared" si="38"/>
        <v>0</v>
      </c>
      <c r="CF51" s="320">
        <f t="shared" si="39"/>
        <v>0</v>
      </c>
      <c r="CG51" s="320">
        <f t="shared" si="40"/>
        <v>0</v>
      </c>
      <c r="CH51" s="427">
        <v>0</v>
      </c>
      <c r="CI51" s="427">
        <v>0</v>
      </c>
      <c r="CJ51" s="427">
        <v>0</v>
      </c>
      <c r="CK51" s="427">
        <v>0</v>
      </c>
      <c r="CL51" s="320">
        <f t="shared" si="53"/>
        <v>0</v>
      </c>
      <c r="CM51" s="320">
        <f t="shared" si="41"/>
        <v>0</v>
      </c>
      <c r="CN51" s="320">
        <f t="shared" si="42"/>
        <v>0</v>
      </c>
      <c r="CO51" s="320">
        <f t="shared" si="43"/>
        <v>0</v>
      </c>
      <c r="CP51" s="427">
        <v>0</v>
      </c>
      <c r="CQ51" s="427">
        <v>1</v>
      </c>
      <c r="CR51" s="320">
        <f t="shared" si="44"/>
        <v>1</v>
      </c>
      <c r="CS51" s="320">
        <f t="shared" si="45"/>
        <v>0</v>
      </c>
      <c r="CT51" s="320">
        <f t="shared" si="58"/>
        <v>0</v>
      </c>
      <c r="CU51" s="320">
        <f t="shared" si="59"/>
        <v>0</v>
      </c>
      <c r="CV51" s="427">
        <v>0</v>
      </c>
      <c r="CW51" s="17">
        <v>0</v>
      </c>
      <c r="CX51" s="320">
        <f t="shared" si="47"/>
        <v>0</v>
      </c>
      <c r="CY51" s="320">
        <f t="shared" si="48"/>
        <v>0</v>
      </c>
      <c r="CZ51" s="320">
        <f t="shared" si="49"/>
        <v>0</v>
      </c>
      <c r="DA51" s="17">
        <v>1</v>
      </c>
      <c r="DB51" s="17">
        <v>1</v>
      </c>
      <c r="DC51" s="17">
        <v>0</v>
      </c>
      <c r="DD51" s="31"/>
      <c r="DE51" s="331" t="s">
        <v>387</v>
      </c>
      <c r="DF51" s="323" t="s">
        <v>388</v>
      </c>
      <c r="DG51" s="323" t="s">
        <v>388</v>
      </c>
      <c r="DH51" s="331" t="s">
        <v>387</v>
      </c>
      <c r="DI51" s="331"/>
      <c r="DJ51" s="331" t="s">
        <v>388</v>
      </c>
      <c r="DK51" s="323" t="s">
        <v>1298</v>
      </c>
      <c r="DL51" s="331" t="s">
        <v>444</v>
      </c>
      <c r="DM51" s="331" t="s">
        <v>388</v>
      </c>
      <c r="DN51" s="323" t="s">
        <v>1298</v>
      </c>
      <c r="DO51" s="331" t="s">
        <v>388</v>
      </c>
      <c r="DP51" s="332"/>
      <c r="DQ51" s="387"/>
      <c r="DR51" s="240">
        <f>SUM(DS51:DX51)/6</f>
        <v>5.6763285024154585E-2</v>
      </c>
      <c r="DS51" s="429">
        <f t="shared" si="50"/>
        <v>0.17391304347826086</v>
      </c>
      <c r="DT51" s="429">
        <f>SUM(BA51:BE51,BG51)/5</f>
        <v>0</v>
      </c>
      <c r="DU51" s="429">
        <f>SUM(BI51,BO51,BS51,BU51:BW51)/6</f>
        <v>0</v>
      </c>
      <c r="DV51" s="429">
        <f>SUM(BY51-CB51,CD51-CG51)/8</f>
        <v>0</v>
      </c>
      <c r="DW51" s="429">
        <f>SUM(CH51:CJ51,CL51:CO51,BN51,BR51)/9</f>
        <v>0</v>
      </c>
      <c r="DX51" s="429">
        <f>SUM(CP51,CR51:CV51)/6</f>
        <v>0.16666666666666666</v>
      </c>
      <c r="DY51" s="444"/>
      <c r="DZ51" s="140" t="s">
        <v>694</v>
      </c>
      <c r="EA51" s="140" t="s">
        <v>695</v>
      </c>
      <c r="EB51" s="139" t="s">
        <v>791</v>
      </c>
      <c r="EC51" s="139" t="s">
        <v>778</v>
      </c>
      <c r="ED51" s="123">
        <v>1</v>
      </c>
      <c r="EG51" s="132"/>
      <c r="EH51" s="32"/>
      <c r="EI51" s="455"/>
      <c r="EJ51" s="33" t="e">
        <f t="shared" si="51"/>
        <v>#VALUE!</v>
      </c>
      <c r="EK51" s="42"/>
      <c r="EL51" s="42"/>
      <c r="EM51" s="42"/>
      <c r="EN51" s="454"/>
      <c r="EO51" s="454"/>
      <c r="EP51" s="454"/>
      <c r="EQ51" s="37" t="s">
        <v>386</v>
      </c>
      <c r="ER51" s="440">
        <v>1</v>
      </c>
      <c r="ES51" s="431"/>
      <c r="ET51" s="431">
        <v>1</v>
      </c>
      <c r="EU51" s="431">
        <v>1</v>
      </c>
      <c r="EV51" s="447"/>
      <c r="EZ51" s="393" t="s">
        <v>71</v>
      </c>
      <c r="FA51" s="393" t="s">
        <v>71</v>
      </c>
      <c r="FB51" s="389">
        <v>2058</v>
      </c>
      <c r="FC51" s="389">
        <v>2435</v>
      </c>
      <c r="FD51" s="389">
        <v>2697</v>
      </c>
      <c r="FE51" s="389">
        <v>2932</v>
      </c>
      <c r="FF51" s="389">
        <v>3200</v>
      </c>
      <c r="FG51" s="390">
        <v>2.1519507186858317E-2</v>
      </c>
      <c r="FH51" s="390">
        <v>1.7426770485724878E-2</v>
      </c>
      <c r="FI51" s="390">
        <v>1.8281036834924966E-2</v>
      </c>
      <c r="FJ51" s="391" t="s">
        <v>1389</v>
      </c>
      <c r="FK51" s="391">
        <v>4.9020347740268901E-2</v>
      </c>
      <c r="FL51" s="31" t="s">
        <v>1396</v>
      </c>
      <c r="FN51" s="127" t="s">
        <v>1485</v>
      </c>
      <c r="FO51" s="127" t="s">
        <v>1486</v>
      </c>
      <c r="FP51" s="127"/>
    </row>
    <row r="52" spans="1:177" ht="22" customHeight="1" x14ac:dyDescent="0.2">
      <c r="A52" s="13" t="s">
        <v>4</v>
      </c>
      <c r="B52" s="14" t="s">
        <v>21</v>
      </c>
      <c r="C52" s="14"/>
      <c r="D52" s="14"/>
      <c r="E52" s="215" t="s">
        <v>72</v>
      </c>
      <c r="F52" s="15" t="s">
        <v>1355</v>
      </c>
      <c r="G52" s="15" t="s">
        <v>634</v>
      </c>
      <c r="H52" s="91">
        <f t="shared" si="62"/>
        <v>1</v>
      </c>
      <c r="I52" s="95">
        <f t="shared" si="1"/>
        <v>0</v>
      </c>
      <c r="J52" s="91"/>
      <c r="K52" s="256">
        <f t="shared" si="2"/>
        <v>1</v>
      </c>
      <c r="L52" s="257">
        <v>0</v>
      </c>
      <c r="M52" s="154"/>
      <c r="N52" s="155">
        <v>0</v>
      </c>
      <c r="O52" s="158" t="str">
        <f t="shared" si="3"/>
        <v>N/A or not found_x000D__x000D_</v>
      </c>
      <c r="P52" s="144" t="str">
        <f t="shared" si="61"/>
        <v>N/A or not found_x000D__x000D_</v>
      </c>
      <c r="Q52" s="360" t="s">
        <v>925</v>
      </c>
      <c r="R52" s="64" t="s">
        <v>918</v>
      </c>
      <c r="S52" s="432"/>
      <c r="T52" s="300" t="s">
        <v>925</v>
      </c>
      <c r="U52" s="300" t="s">
        <v>925</v>
      </c>
      <c r="V52" s="309" t="s">
        <v>925</v>
      </c>
      <c r="W52" s="258"/>
      <c r="X52" s="306" t="s">
        <v>834</v>
      </c>
      <c r="Y52" s="295"/>
      <c r="Z52" s="426">
        <v>1</v>
      </c>
      <c r="AA52" s="320">
        <v>0</v>
      </c>
      <c r="AB52" s="320">
        <f t="shared" si="5"/>
        <v>0</v>
      </c>
      <c r="AC52" s="320">
        <f t="shared" si="6"/>
        <v>0</v>
      </c>
      <c r="AD52" s="320">
        <f t="shared" si="7"/>
        <v>0</v>
      </c>
      <c r="AE52" s="320">
        <f t="shared" si="8"/>
        <v>0</v>
      </c>
      <c r="AF52" s="320">
        <f t="shared" si="9"/>
        <v>0</v>
      </c>
      <c r="AG52" s="320">
        <f t="shared" si="63"/>
        <v>0</v>
      </c>
      <c r="AH52" s="427">
        <v>0</v>
      </c>
      <c r="AI52" s="320">
        <f t="shared" si="11"/>
        <v>0</v>
      </c>
      <c r="AJ52" s="320">
        <f t="shared" si="12"/>
        <v>0</v>
      </c>
      <c r="AK52" s="320">
        <f t="shared" si="13"/>
        <v>0</v>
      </c>
      <c r="AL52" s="320">
        <f t="shared" si="14"/>
        <v>0</v>
      </c>
      <c r="AM52" s="320">
        <f t="shared" si="15"/>
        <v>0</v>
      </c>
      <c r="AN52" s="320">
        <f t="shared" si="16"/>
        <v>0</v>
      </c>
      <c r="AO52" s="427">
        <v>0</v>
      </c>
      <c r="AP52" s="320">
        <f t="shared" si="17"/>
        <v>0</v>
      </c>
      <c r="AQ52" s="320">
        <f t="shared" si="18"/>
        <v>0</v>
      </c>
      <c r="AR52" s="320">
        <f t="shared" si="19"/>
        <v>0</v>
      </c>
      <c r="AS52" s="320">
        <f t="shared" si="20"/>
        <v>0</v>
      </c>
      <c r="AT52" s="320">
        <f t="shared" si="21"/>
        <v>0</v>
      </c>
      <c r="AU52" s="320">
        <f t="shared" si="22"/>
        <v>0</v>
      </c>
      <c r="AV52" s="427">
        <v>0</v>
      </c>
      <c r="AW52" s="320">
        <f t="shared" si="23"/>
        <v>0</v>
      </c>
      <c r="AX52" s="320">
        <f t="shared" si="24"/>
        <v>0</v>
      </c>
      <c r="AY52" s="320">
        <f t="shared" si="25"/>
        <v>0</v>
      </c>
      <c r="AZ52" s="320">
        <f t="shared" si="26"/>
        <v>0</v>
      </c>
      <c r="BA52" s="17">
        <v>0</v>
      </c>
      <c r="BB52" s="17" t="s">
        <v>834</v>
      </c>
      <c r="BC52" s="17">
        <v>0</v>
      </c>
      <c r="BD52" s="17">
        <v>0</v>
      </c>
      <c r="BE52" s="17">
        <v>0</v>
      </c>
      <c r="BF52" s="17">
        <v>0</v>
      </c>
      <c r="BG52" s="428">
        <v>0</v>
      </c>
      <c r="BH52" s="17">
        <v>0</v>
      </c>
      <c r="BI52" s="17">
        <v>0</v>
      </c>
      <c r="BJ52" s="17" t="s">
        <v>834</v>
      </c>
      <c r="BK52" s="17">
        <v>0</v>
      </c>
      <c r="BL52" s="17">
        <v>0</v>
      </c>
      <c r="BM52" s="17" t="s">
        <v>834</v>
      </c>
      <c r="BN52" s="320">
        <v>0</v>
      </c>
      <c r="BO52" s="320">
        <f t="shared" si="28"/>
        <v>0</v>
      </c>
      <c r="BP52" s="427">
        <v>1</v>
      </c>
      <c r="BQ52" s="427" t="s">
        <v>1193</v>
      </c>
      <c r="BR52" s="320">
        <f t="shared" si="56"/>
        <v>1</v>
      </c>
      <c r="BS52" s="320">
        <f>IF(ISNUMBER(SEARCH("1",$BP52)),1,0)</f>
        <v>1</v>
      </c>
      <c r="BT52" s="427">
        <v>0</v>
      </c>
      <c r="BU52" s="320">
        <f t="shared" si="30"/>
        <v>0</v>
      </c>
      <c r="BV52" s="320">
        <f t="shared" si="31"/>
        <v>0</v>
      </c>
      <c r="BW52" s="320">
        <f t="shared" si="32"/>
        <v>0</v>
      </c>
      <c r="BX52" s="427">
        <v>1</v>
      </c>
      <c r="BY52" s="320">
        <f t="shared" si="33"/>
        <v>1</v>
      </c>
      <c r="BZ52" s="320">
        <f t="shared" si="34"/>
        <v>0</v>
      </c>
      <c r="CA52" s="320">
        <f t="shared" si="35"/>
        <v>0</v>
      </c>
      <c r="CB52" s="320">
        <f t="shared" si="36"/>
        <v>0</v>
      </c>
      <c r="CC52" s="427">
        <v>0</v>
      </c>
      <c r="CD52" s="320">
        <f t="shared" si="37"/>
        <v>0</v>
      </c>
      <c r="CE52" s="320">
        <f t="shared" si="38"/>
        <v>0</v>
      </c>
      <c r="CF52" s="320">
        <f t="shared" si="39"/>
        <v>0</v>
      </c>
      <c r="CG52" s="320">
        <f t="shared" si="40"/>
        <v>0</v>
      </c>
      <c r="CH52" s="427">
        <v>0</v>
      </c>
      <c r="CI52" s="427">
        <v>0</v>
      </c>
      <c r="CJ52" s="427">
        <v>0</v>
      </c>
      <c r="CK52" s="427">
        <v>1</v>
      </c>
      <c r="CL52" s="320">
        <f t="shared" si="53"/>
        <v>1</v>
      </c>
      <c r="CM52" s="320">
        <f t="shared" si="41"/>
        <v>0</v>
      </c>
      <c r="CN52" s="320">
        <f t="shared" si="42"/>
        <v>0</v>
      </c>
      <c r="CO52" s="320">
        <f t="shared" si="43"/>
        <v>0</v>
      </c>
      <c r="CP52" s="427">
        <v>0</v>
      </c>
      <c r="CQ52" s="427">
        <v>0</v>
      </c>
      <c r="CR52" s="320">
        <f t="shared" si="44"/>
        <v>0</v>
      </c>
      <c r="CS52" s="320">
        <f t="shared" si="45"/>
        <v>0</v>
      </c>
      <c r="CT52" s="320">
        <f t="shared" si="58"/>
        <v>0</v>
      </c>
      <c r="CU52" s="320">
        <f t="shared" si="59"/>
        <v>0</v>
      </c>
      <c r="CV52" s="427">
        <v>0</v>
      </c>
      <c r="CW52" s="17">
        <v>0</v>
      </c>
      <c r="CX52" s="320">
        <f t="shared" si="47"/>
        <v>0</v>
      </c>
      <c r="CY52" s="320">
        <f t="shared" si="48"/>
        <v>0</v>
      </c>
      <c r="CZ52" s="320">
        <f t="shared" si="49"/>
        <v>0</v>
      </c>
      <c r="DA52" s="17">
        <v>0</v>
      </c>
      <c r="DB52" s="17">
        <v>0</v>
      </c>
      <c r="DC52" s="17">
        <v>0</v>
      </c>
      <c r="DD52" s="31"/>
      <c r="DE52" s="356" t="s">
        <v>388</v>
      </c>
      <c r="DF52" s="356" t="s">
        <v>388</v>
      </c>
      <c r="DG52" s="356" t="s">
        <v>388</v>
      </c>
      <c r="DH52" s="356" t="s">
        <v>388</v>
      </c>
      <c r="DI52" s="356" t="s">
        <v>388</v>
      </c>
      <c r="DJ52" s="356" t="s">
        <v>388</v>
      </c>
      <c r="DK52" s="358" t="s">
        <v>1110</v>
      </c>
      <c r="DL52" s="356" t="s">
        <v>388</v>
      </c>
      <c r="DM52" s="356" t="s">
        <v>388</v>
      </c>
      <c r="DN52" s="356" t="s">
        <v>388</v>
      </c>
      <c r="DO52" s="356" t="s">
        <v>388</v>
      </c>
      <c r="DP52" s="348">
        <v>1</v>
      </c>
      <c r="DQ52" s="359"/>
      <c r="DR52" s="239">
        <f>SUM(DS52:DX52)/6</f>
        <v>8.564814814814814E-2</v>
      </c>
      <c r="DS52" s="429">
        <f t="shared" si="50"/>
        <v>0</v>
      </c>
      <c r="DT52" s="429">
        <f>SUM(BA52:BE52,BG52)/5</f>
        <v>0</v>
      </c>
      <c r="DU52" s="429">
        <f>SUM(BI52,BO52,BS52,BU52:BW52)/6</f>
        <v>0.16666666666666666</v>
      </c>
      <c r="DV52" s="429">
        <f>SUM(BY52-CB52,CD52-CG52)/8</f>
        <v>0.125</v>
      </c>
      <c r="DW52" s="429">
        <f>SUM(CH52:CJ52,CL52:CO52,BN52,BR52)/9</f>
        <v>0.22222222222222221</v>
      </c>
      <c r="DX52" s="429">
        <f>SUM(CP52,CR52:CV52)/6</f>
        <v>0</v>
      </c>
      <c r="DY52" s="456"/>
      <c r="DZ52" s="135"/>
      <c r="EA52" s="135"/>
      <c r="EB52" s="135"/>
      <c r="EC52" s="135"/>
      <c r="ED52" s="135"/>
      <c r="EG52" s="132"/>
      <c r="EH52" s="32">
        <v>0</v>
      </c>
      <c r="EI52" s="457"/>
      <c r="EJ52" s="33" t="b">
        <f t="shared" si="51"/>
        <v>0</v>
      </c>
      <c r="EK52" s="57"/>
      <c r="EL52" s="57"/>
      <c r="EM52" s="57"/>
      <c r="EN52" s="79"/>
      <c r="EO52" s="79"/>
      <c r="EP52" s="79"/>
      <c r="EQ52" s="72" t="s">
        <v>386</v>
      </c>
      <c r="ER52" s="65">
        <v>0</v>
      </c>
      <c r="ES52" s="73"/>
      <c r="ET52" s="442">
        <v>1</v>
      </c>
      <c r="EU52" s="74">
        <v>1</v>
      </c>
      <c r="EV52" s="150"/>
      <c r="EZ52" s="393" t="s">
        <v>72</v>
      </c>
      <c r="FA52" s="393" t="s">
        <v>72</v>
      </c>
      <c r="FB52" s="389">
        <v>161.11000000000001</v>
      </c>
      <c r="FC52" s="389">
        <v>171.61</v>
      </c>
      <c r="FD52" s="389">
        <v>172.851</v>
      </c>
      <c r="FE52" s="389">
        <v>172.84100000000001</v>
      </c>
      <c r="FF52" s="389">
        <v>172.7</v>
      </c>
      <c r="FG52" s="390">
        <v>1.4463026630149587E-3</v>
      </c>
      <c r="FH52" s="390">
        <v>-1.1570659122586395E-5</v>
      </c>
      <c r="FI52" s="390">
        <v>-1.6315573272547549E-4</v>
      </c>
      <c r="FJ52" s="391">
        <v>13.100815778678406</v>
      </c>
      <c r="FK52" s="391" t="s">
        <v>1386</v>
      </c>
      <c r="FL52" s="31" t="s">
        <v>1379</v>
      </c>
      <c r="FN52" s="343" t="s">
        <v>1487</v>
      </c>
      <c r="FO52" s="343" t="s">
        <v>1488</v>
      </c>
      <c r="FP52" s="343" t="s">
        <v>1346</v>
      </c>
      <c r="FR52" s="402">
        <v>1</v>
      </c>
      <c r="FS52" s="402">
        <v>0</v>
      </c>
      <c r="FT52" s="402">
        <v>1</v>
      </c>
      <c r="FU52" s="402">
        <v>1</v>
      </c>
    </row>
    <row r="53" spans="1:177" ht="22" hidden="1" customHeight="1" x14ac:dyDescent="0.2">
      <c r="A53" s="13" t="s">
        <v>7</v>
      </c>
      <c r="B53" s="14" t="s">
        <v>34</v>
      </c>
      <c r="C53" s="9" t="s">
        <v>1029</v>
      </c>
      <c r="D53" s="14"/>
      <c r="E53" s="128" t="s">
        <v>73</v>
      </c>
      <c r="F53" s="15"/>
      <c r="G53" s="15" t="s">
        <v>634</v>
      </c>
      <c r="H53" s="91">
        <f t="shared" si="62"/>
        <v>1</v>
      </c>
      <c r="I53" s="95">
        <f t="shared" si="1"/>
        <v>0</v>
      </c>
      <c r="J53" s="91"/>
      <c r="K53" s="256">
        <f t="shared" si="2"/>
        <v>1</v>
      </c>
      <c r="L53" s="101">
        <v>0</v>
      </c>
      <c r="M53" s="99"/>
      <c r="N53" s="89"/>
      <c r="O53" s="98" t="str">
        <f t="shared" si="3"/>
        <v>_x000D__x000D_</v>
      </c>
      <c r="P53" s="144" t="str">
        <f t="shared" si="61"/>
        <v>_x000D__x000D_</v>
      </c>
      <c r="Q53" s="55"/>
      <c r="R53" s="64" t="s">
        <v>918</v>
      </c>
      <c r="S53" s="425"/>
      <c r="T53" s="300" t="s">
        <v>834</v>
      </c>
      <c r="U53" s="300" t="s">
        <v>834</v>
      </c>
      <c r="V53" s="301" t="s">
        <v>834</v>
      </c>
      <c r="W53" s="258"/>
      <c r="X53" s="307" t="s">
        <v>834</v>
      </c>
      <c r="Y53" s="274"/>
      <c r="Z53" s="426"/>
      <c r="AA53" s="320">
        <f t="shared" ref="AA53:AA116" si="64">IF(ISNUMBER(SEARCH("1",$Z53)),1,0)</f>
        <v>0</v>
      </c>
      <c r="AB53" s="320">
        <f t="shared" si="5"/>
        <v>0</v>
      </c>
      <c r="AC53" s="320">
        <f t="shared" si="6"/>
        <v>0</v>
      </c>
      <c r="AD53" s="320">
        <f t="shared" si="7"/>
        <v>0</v>
      </c>
      <c r="AE53" s="320">
        <f t="shared" si="8"/>
        <v>0</v>
      </c>
      <c r="AF53" s="320">
        <f t="shared" si="9"/>
        <v>0</v>
      </c>
      <c r="AG53" s="320">
        <f t="shared" si="63"/>
        <v>0</v>
      </c>
      <c r="AH53" s="427"/>
      <c r="AI53" s="320">
        <f t="shared" si="11"/>
        <v>0</v>
      </c>
      <c r="AJ53" s="320">
        <f t="shared" si="12"/>
        <v>0</v>
      </c>
      <c r="AK53" s="320">
        <f t="shared" si="13"/>
        <v>0</v>
      </c>
      <c r="AL53" s="320">
        <f t="shared" si="14"/>
        <v>0</v>
      </c>
      <c r="AM53" s="320">
        <f t="shared" si="15"/>
        <v>0</v>
      </c>
      <c r="AN53" s="320">
        <f t="shared" si="16"/>
        <v>0</v>
      </c>
      <c r="AO53" s="427"/>
      <c r="AP53" s="320">
        <f t="shared" si="17"/>
        <v>0</v>
      </c>
      <c r="AQ53" s="320">
        <f t="shared" si="18"/>
        <v>0</v>
      </c>
      <c r="AR53" s="320">
        <f t="shared" si="19"/>
        <v>0</v>
      </c>
      <c r="AS53" s="320">
        <f t="shared" si="20"/>
        <v>0</v>
      </c>
      <c r="AT53" s="320">
        <f t="shared" si="21"/>
        <v>0</v>
      </c>
      <c r="AU53" s="320">
        <f t="shared" si="22"/>
        <v>0</v>
      </c>
      <c r="AV53" s="427"/>
      <c r="AW53" s="320">
        <f t="shared" si="23"/>
        <v>0</v>
      </c>
      <c r="AX53" s="320">
        <f t="shared" si="24"/>
        <v>0</v>
      </c>
      <c r="AY53" s="320">
        <f t="shared" si="25"/>
        <v>0</v>
      </c>
      <c r="AZ53" s="320">
        <f t="shared" si="26"/>
        <v>0</v>
      </c>
      <c r="BA53" s="17"/>
      <c r="BB53" s="17" t="s">
        <v>834</v>
      </c>
      <c r="BC53" s="17"/>
      <c r="BD53" s="17"/>
      <c r="BE53" s="17"/>
      <c r="BF53" s="17"/>
      <c r="BG53" s="428">
        <f t="shared" ref="BG53:BG116" si="65">IF(BF53&gt;0,1,0)</f>
        <v>0</v>
      </c>
      <c r="BH53" s="17"/>
      <c r="BI53" s="17"/>
      <c r="BJ53" s="17"/>
      <c r="BK53" s="17"/>
      <c r="BL53" s="17"/>
      <c r="BM53" s="17"/>
      <c r="BN53" s="320">
        <f t="shared" ref="BN53:BN116" si="66">IF(ISNUMBER(SEARCH("1",$BL53)),1,0)</f>
        <v>0</v>
      </c>
      <c r="BO53" s="320">
        <f t="shared" si="28"/>
        <v>0</v>
      </c>
      <c r="BP53" s="427"/>
      <c r="BQ53" s="427"/>
      <c r="BR53" s="320">
        <f t="shared" si="56"/>
        <v>0</v>
      </c>
      <c r="BS53" s="320">
        <f>IF(ISNUMBER(SEARCH("1",$BP53)),1,0)</f>
        <v>0</v>
      </c>
      <c r="BT53" s="427"/>
      <c r="BU53" s="320">
        <f t="shared" si="30"/>
        <v>0</v>
      </c>
      <c r="BV53" s="320">
        <f t="shared" si="31"/>
        <v>0</v>
      </c>
      <c r="BW53" s="320">
        <f t="shared" si="32"/>
        <v>0</v>
      </c>
      <c r="BX53" s="427"/>
      <c r="BY53" s="320">
        <f t="shared" si="33"/>
        <v>0</v>
      </c>
      <c r="BZ53" s="320">
        <f t="shared" si="34"/>
        <v>0</v>
      </c>
      <c r="CA53" s="320">
        <f t="shared" si="35"/>
        <v>0</v>
      </c>
      <c r="CB53" s="320">
        <f t="shared" si="36"/>
        <v>0</v>
      </c>
      <c r="CC53" s="427"/>
      <c r="CD53" s="320">
        <f t="shared" si="37"/>
        <v>0</v>
      </c>
      <c r="CE53" s="320">
        <f t="shared" si="38"/>
        <v>0</v>
      </c>
      <c r="CF53" s="320">
        <f t="shared" si="39"/>
        <v>0</v>
      </c>
      <c r="CG53" s="320">
        <f t="shared" si="40"/>
        <v>0</v>
      </c>
      <c r="CH53" s="427"/>
      <c r="CI53" s="427"/>
      <c r="CJ53" s="427"/>
      <c r="CK53" s="427"/>
      <c r="CL53" s="320">
        <f t="shared" si="53"/>
        <v>0</v>
      </c>
      <c r="CM53" s="320">
        <f t="shared" si="41"/>
        <v>0</v>
      </c>
      <c r="CN53" s="320">
        <f t="shared" si="42"/>
        <v>0</v>
      </c>
      <c r="CO53" s="320">
        <f t="shared" si="43"/>
        <v>0</v>
      </c>
      <c r="CP53" s="427"/>
      <c r="CQ53" s="427"/>
      <c r="CR53" s="320">
        <f t="shared" si="44"/>
        <v>0</v>
      </c>
      <c r="CS53" s="320">
        <f t="shared" si="45"/>
        <v>0</v>
      </c>
      <c r="CT53" s="320">
        <f t="shared" si="58"/>
        <v>0</v>
      </c>
      <c r="CU53" s="320">
        <f t="shared" si="59"/>
        <v>0</v>
      </c>
      <c r="CV53" s="427"/>
      <c r="CW53" s="17"/>
      <c r="CX53" s="320">
        <f t="shared" si="47"/>
        <v>0</v>
      </c>
      <c r="CY53" s="320">
        <f t="shared" si="48"/>
        <v>0</v>
      </c>
      <c r="CZ53" s="320">
        <f t="shared" si="49"/>
        <v>0</v>
      </c>
      <c r="DA53" s="17"/>
      <c r="DB53" s="17"/>
      <c r="DC53" s="17"/>
      <c r="DD53" s="31"/>
      <c r="DE53" s="323"/>
      <c r="DF53" s="323"/>
      <c r="DG53" s="323"/>
      <c r="DH53" s="323"/>
      <c r="DI53" s="323"/>
      <c r="DJ53" s="323"/>
      <c r="DK53" s="323"/>
      <c r="DL53" s="323"/>
      <c r="DM53" s="323"/>
      <c r="DN53" s="323"/>
      <c r="DO53" s="323"/>
      <c r="DP53" s="324"/>
      <c r="DQ53" s="385"/>
      <c r="DR53" s="242"/>
      <c r="DS53" s="429">
        <f t="shared" si="50"/>
        <v>0</v>
      </c>
      <c r="DT53" s="429"/>
      <c r="DU53" s="429"/>
      <c r="DV53" s="429"/>
      <c r="DW53" s="429"/>
      <c r="DX53" s="429"/>
      <c r="DY53" s="429"/>
      <c r="DZ53" s="134"/>
      <c r="EA53" s="134"/>
      <c r="EB53" s="134"/>
      <c r="EC53" s="134"/>
      <c r="ED53" s="123"/>
      <c r="EG53" s="132"/>
      <c r="EH53" s="32">
        <v>1</v>
      </c>
      <c r="EI53" s="453">
        <v>4295826</v>
      </c>
      <c r="EJ53" s="33" t="b">
        <f t="shared" si="51"/>
        <v>0</v>
      </c>
      <c r="EK53" s="42"/>
      <c r="EL53" s="42"/>
      <c r="EM53" s="42"/>
      <c r="EN53" s="36" t="s">
        <v>432</v>
      </c>
      <c r="EO53" s="36"/>
      <c r="EP53" s="36" t="s">
        <v>385</v>
      </c>
      <c r="EQ53" s="37" t="s">
        <v>826</v>
      </c>
      <c r="ER53" s="440">
        <v>1</v>
      </c>
      <c r="ES53" s="431"/>
      <c r="ET53" s="431">
        <v>0</v>
      </c>
      <c r="EU53" s="431" t="s">
        <v>460</v>
      </c>
      <c r="EV53" s="447"/>
      <c r="EZ53" s="393" t="s">
        <v>73</v>
      </c>
      <c r="FA53" s="393" t="s">
        <v>73</v>
      </c>
      <c r="FB53" s="389">
        <v>2629</v>
      </c>
      <c r="FC53" s="389">
        <v>2637</v>
      </c>
      <c r="FD53" s="389">
        <v>2647</v>
      </c>
      <c r="FE53" s="389">
        <v>2657</v>
      </c>
      <c r="FF53" s="389">
        <v>2667</v>
      </c>
      <c r="FG53" s="390">
        <v>7.5843761850587785E-4</v>
      </c>
      <c r="FH53" s="390">
        <v>7.5557234605213458E-4</v>
      </c>
      <c r="FI53" s="390">
        <v>7.5272864132480233E-4</v>
      </c>
      <c r="FJ53" s="391" t="s">
        <v>1389</v>
      </c>
      <c r="FK53" s="391">
        <v>-3.7636432066242313E-3</v>
      </c>
      <c r="FL53" s="31" t="s">
        <v>1394</v>
      </c>
      <c r="FN53" s="127" t="s">
        <v>1489</v>
      </c>
      <c r="FO53" s="127" t="s">
        <v>1490</v>
      </c>
      <c r="FP53" s="127"/>
    </row>
    <row r="54" spans="1:177" ht="22" hidden="1" customHeight="1" x14ac:dyDescent="0.2">
      <c r="A54" s="13" t="s">
        <v>4</v>
      </c>
      <c r="B54" s="14" t="s">
        <v>62</v>
      </c>
      <c r="C54" s="14"/>
      <c r="D54" s="14" t="s">
        <v>1068</v>
      </c>
      <c r="E54" s="128" t="s">
        <v>74</v>
      </c>
      <c r="F54" s="15" t="s">
        <v>638</v>
      </c>
      <c r="G54" s="15" t="s">
        <v>635</v>
      </c>
      <c r="H54" s="91">
        <f t="shared" si="62"/>
        <v>0</v>
      </c>
      <c r="I54" s="95">
        <f t="shared" si="1"/>
        <v>0</v>
      </c>
      <c r="J54" s="91"/>
      <c r="K54" s="256">
        <f t="shared" si="2"/>
        <v>0</v>
      </c>
      <c r="L54" s="101">
        <v>0</v>
      </c>
      <c r="M54" s="99"/>
      <c r="N54" s="89"/>
      <c r="O54" s="98" t="str">
        <f t="shared" si="3"/>
        <v>_x000D__x000D_</v>
      </c>
      <c r="P54" s="144" t="str">
        <f t="shared" si="61"/>
        <v xml:space="preserve">N/A or not found_x000D__x000D_ </v>
      </c>
      <c r="Q54" s="55"/>
      <c r="R54" s="64" t="s">
        <v>918</v>
      </c>
      <c r="S54" s="425"/>
      <c r="T54" s="300" t="s">
        <v>925</v>
      </c>
      <c r="U54" s="300" t="s">
        <v>925</v>
      </c>
      <c r="V54" s="301" t="s">
        <v>925</v>
      </c>
      <c r="W54" s="258"/>
      <c r="X54" s="307" t="s">
        <v>924</v>
      </c>
      <c r="Y54" s="274"/>
      <c r="Z54" s="426">
        <v>1</v>
      </c>
      <c r="AA54" s="320">
        <f t="shared" si="64"/>
        <v>1</v>
      </c>
      <c r="AB54" s="320">
        <f t="shared" si="5"/>
        <v>0</v>
      </c>
      <c r="AC54" s="320">
        <f t="shared" si="6"/>
        <v>0</v>
      </c>
      <c r="AD54" s="320">
        <f t="shared" si="7"/>
        <v>0</v>
      </c>
      <c r="AE54" s="320">
        <f t="shared" si="8"/>
        <v>0</v>
      </c>
      <c r="AF54" s="320">
        <f t="shared" si="9"/>
        <v>0</v>
      </c>
      <c r="AG54" s="320">
        <f t="shared" si="63"/>
        <v>0</v>
      </c>
      <c r="AH54" s="427">
        <v>1</v>
      </c>
      <c r="AI54" s="320">
        <f t="shared" si="11"/>
        <v>1</v>
      </c>
      <c r="AJ54" s="320">
        <f t="shared" si="12"/>
        <v>0</v>
      </c>
      <c r="AK54" s="320">
        <f t="shared" si="13"/>
        <v>0</v>
      </c>
      <c r="AL54" s="320">
        <f t="shared" si="14"/>
        <v>0</v>
      </c>
      <c r="AM54" s="320">
        <f t="shared" si="15"/>
        <v>0</v>
      </c>
      <c r="AN54" s="320">
        <f t="shared" si="16"/>
        <v>0</v>
      </c>
      <c r="AO54" s="427">
        <v>0</v>
      </c>
      <c r="AP54" s="320">
        <f t="shared" si="17"/>
        <v>0</v>
      </c>
      <c r="AQ54" s="320">
        <f t="shared" si="18"/>
        <v>0</v>
      </c>
      <c r="AR54" s="320">
        <f t="shared" si="19"/>
        <v>0</v>
      </c>
      <c r="AS54" s="320">
        <f t="shared" si="20"/>
        <v>0</v>
      </c>
      <c r="AT54" s="320">
        <f t="shared" si="21"/>
        <v>0</v>
      </c>
      <c r="AU54" s="320">
        <f t="shared" si="22"/>
        <v>0</v>
      </c>
      <c r="AV54" s="427">
        <v>1</v>
      </c>
      <c r="AW54" s="320">
        <f t="shared" si="23"/>
        <v>1</v>
      </c>
      <c r="AX54" s="320">
        <f t="shared" si="24"/>
        <v>0</v>
      </c>
      <c r="AY54" s="320">
        <f t="shared" si="25"/>
        <v>0</v>
      </c>
      <c r="AZ54" s="320">
        <f t="shared" si="26"/>
        <v>0</v>
      </c>
      <c r="BA54" s="17">
        <v>0</v>
      </c>
      <c r="BB54" s="17" t="s">
        <v>1279</v>
      </c>
      <c r="BC54" s="17">
        <v>0</v>
      </c>
      <c r="BD54" s="17">
        <v>0</v>
      </c>
      <c r="BE54" s="17">
        <v>0</v>
      </c>
      <c r="BF54" s="17">
        <v>0</v>
      </c>
      <c r="BG54" s="428">
        <f t="shared" si="65"/>
        <v>0</v>
      </c>
      <c r="BH54" s="17">
        <v>1</v>
      </c>
      <c r="BI54" s="17">
        <v>0</v>
      </c>
      <c r="BJ54" s="17" t="s">
        <v>1233</v>
      </c>
      <c r="BK54" s="17"/>
      <c r="BL54" s="17">
        <v>0</v>
      </c>
      <c r="BM54" s="17" t="s">
        <v>834</v>
      </c>
      <c r="BN54" s="320">
        <f t="shared" si="66"/>
        <v>0</v>
      </c>
      <c r="BO54" s="320">
        <f t="shared" si="28"/>
        <v>0</v>
      </c>
      <c r="BP54" s="427">
        <v>1</v>
      </c>
      <c r="BQ54" s="427" t="s">
        <v>1234</v>
      </c>
      <c r="BR54" s="320">
        <f t="shared" ref="BR54:BS72" si="67">IF(ISNUMBER(SEARCH("1",$BP54)),1,0)</f>
        <v>1</v>
      </c>
      <c r="BS54" s="320">
        <f>IF(ISNUMBER(SEARCH("t",$BP54)),1,0)</f>
        <v>0</v>
      </c>
      <c r="BT54" s="427">
        <v>1</v>
      </c>
      <c r="BU54" s="320">
        <f t="shared" si="30"/>
        <v>1</v>
      </c>
      <c r="BV54" s="320">
        <f t="shared" si="31"/>
        <v>0</v>
      </c>
      <c r="BW54" s="320">
        <f t="shared" si="32"/>
        <v>0</v>
      </c>
      <c r="BX54" s="427" t="s">
        <v>315</v>
      </c>
      <c r="BY54" s="320">
        <f t="shared" si="33"/>
        <v>1</v>
      </c>
      <c r="BZ54" s="320">
        <f t="shared" si="34"/>
        <v>0</v>
      </c>
      <c r="CA54" s="320">
        <f t="shared" si="35"/>
        <v>1</v>
      </c>
      <c r="CB54" s="320">
        <f t="shared" si="36"/>
        <v>0</v>
      </c>
      <c r="CC54" s="427">
        <v>1</v>
      </c>
      <c r="CD54" s="320">
        <f t="shared" si="37"/>
        <v>1</v>
      </c>
      <c r="CE54" s="320">
        <f t="shared" si="38"/>
        <v>0</v>
      </c>
      <c r="CF54" s="320">
        <f t="shared" si="39"/>
        <v>0</v>
      </c>
      <c r="CG54" s="320">
        <f t="shared" si="40"/>
        <v>0</v>
      </c>
      <c r="CH54" s="427">
        <v>0</v>
      </c>
      <c r="CI54" s="427">
        <v>0</v>
      </c>
      <c r="CJ54" s="427">
        <v>0</v>
      </c>
      <c r="CK54" s="427">
        <v>0</v>
      </c>
      <c r="CL54" s="320">
        <f t="shared" si="53"/>
        <v>0</v>
      </c>
      <c r="CM54" s="320">
        <f t="shared" si="41"/>
        <v>0</v>
      </c>
      <c r="CN54" s="320">
        <f t="shared" si="42"/>
        <v>0</v>
      </c>
      <c r="CO54" s="320">
        <f t="shared" si="43"/>
        <v>0</v>
      </c>
      <c r="CP54" s="427">
        <v>0</v>
      </c>
      <c r="CQ54" s="427">
        <v>3</v>
      </c>
      <c r="CR54" s="320">
        <f t="shared" si="44"/>
        <v>0</v>
      </c>
      <c r="CS54" s="320">
        <f t="shared" si="45"/>
        <v>0</v>
      </c>
      <c r="CT54" s="320">
        <f t="shared" si="58"/>
        <v>0</v>
      </c>
      <c r="CU54" s="320">
        <f t="shared" si="59"/>
        <v>1</v>
      </c>
      <c r="CV54" s="427">
        <v>0</v>
      </c>
      <c r="CW54" s="17">
        <v>4</v>
      </c>
      <c r="CX54" s="320">
        <f t="shared" si="47"/>
        <v>0</v>
      </c>
      <c r="CY54" s="320">
        <f t="shared" si="48"/>
        <v>0</v>
      </c>
      <c r="CZ54" s="320">
        <f t="shared" si="49"/>
        <v>0</v>
      </c>
      <c r="DA54" s="17">
        <v>1</v>
      </c>
      <c r="DB54" s="17">
        <v>1</v>
      </c>
      <c r="DC54" s="17">
        <v>0</v>
      </c>
      <c r="DD54" s="31"/>
      <c r="DE54" s="333"/>
      <c r="DF54" s="333"/>
      <c r="DG54" s="333"/>
      <c r="DH54" s="333"/>
      <c r="DI54" s="333"/>
      <c r="DJ54" s="333"/>
      <c r="DK54" s="333"/>
      <c r="DL54" s="333"/>
      <c r="DM54" s="333"/>
      <c r="DN54" s="333"/>
      <c r="DO54" s="333"/>
      <c r="DP54" s="334"/>
      <c r="DQ54" s="288"/>
      <c r="DR54" s="239">
        <f>SUM(DS54:DX54)/6</f>
        <v>0.13747987117552335</v>
      </c>
      <c r="DS54" s="429">
        <f t="shared" si="50"/>
        <v>0.13043478260869565</v>
      </c>
      <c r="DT54" s="429">
        <f>SUM(BA54:BE54,BG54)/5</f>
        <v>0</v>
      </c>
      <c r="DU54" s="429">
        <f>SUM(BI54,BO54,BS54,BU54:BW54)/6</f>
        <v>0.16666666666666666</v>
      </c>
      <c r="DV54" s="429">
        <f>SUM(BY54-CB54,CD54-CG54)/8</f>
        <v>0.25</v>
      </c>
      <c r="DW54" s="429">
        <f>SUM(CH54:CJ54,CL54:CO54,BN54,BR54)/9</f>
        <v>0.1111111111111111</v>
      </c>
      <c r="DX54" s="429">
        <f>SUM(CP54,CR54:CV54)/6</f>
        <v>0.16666666666666666</v>
      </c>
      <c r="DY54" s="429"/>
      <c r="DZ54" s="137"/>
      <c r="EA54" s="135"/>
      <c r="EB54" s="135"/>
      <c r="EC54" s="135"/>
      <c r="ED54" s="124"/>
      <c r="EG54" s="132"/>
      <c r="EH54" s="32"/>
      <c r="EI54" s="455"/>
      <c r="EJ54" s="33" t="b">
        <f t="shared" si="51"/>
        <v>0</v>
      </c>
      <c r="EK54" s="42"/>
      <c r="EL54" s="42"/>
      <c r="EM54" s="42"/>
      <c r="EN54" s="35" t="s">
        <v>432</v>
      </c>
      <c r="EO54" s="35"/>
      <c r="EP54" s="35" t="s">
        <v>433</v>
      </c>
      <c r="EQ54" s="71"/>
      <c r="ER54" s="440">
        <v>0</v>
      </c>
      <c r="ES54" s="431"/>
      <c r="ET54" s="431">
        <v>0</v>
      </c>
      <c r="EU54" s="431">
        <v>0</v>
      </c>
      <c r="EV54" s="447"/>
      <c r="EZ54" s="393" t="s">
        <v>74</v>
      </c>
      <c r="FA54" s="393" t="s">
        <v>1380</v>
      </c>
      <c r="FB54" s="389">
        <v>8201</v>
      </c>
      <c r="FC54" s="389">
        <v>6933</v>
      </c>
      <c r="FD54" s="389">
        <v>6299</v>
      </c>
      <c r="FE54" s="389">
        <v>5666</v>
      </c>
      <c r="FF54" s="389">
        <v>5031</v>
      </c>
      <c r="FG54" s="390">
        <v>-1.8289340833693928E-2</v>
      </c>
      <c r="FH54" s="390">
        <v>-2.0098428321955866E-2</v>
      </c>
      <c r="FI54" s="390">
        <v>-2.2414401694316979E-2</v>
      </c>
      <c r="FJ54" s="391">
        <v>0.11523156613351225</v>
      </c>
      <c r="FK54" s="391" t="s">
        <v>1386</v>
      </c>
      <c r="FL54" s="31" t="s">
        <v>1379</v>
      </c>
      <c r="FN54" s="128"/>
      <c r="FO54" s="128" t="s">
        <v>1491</v>
      </c>
      <c r="FP54" s="128"/>
    </row>
    <row r="55" spans="1:177" ht="22" hidden="1" customHeight="1" x14ac:dyDescent="0.2">
      <c r="A55" s="13" t="s">
        <v>10</v>
      </c>
      <c r="B55" s="14" t="s">
        <v>14</v>
      </c>
      <c r="C55" s="226" t="s">
        <v>1021</v>
      </c>
      <c r="D55" s="14"/>
      <c r="E55" s="129" t="s">
        <v>75</v>
      </c>
      <c r="F55" s="15"/>
      <c r="G55" s="15" t="s">
        <v>634</v>
      </c>
      <c r="H55" s="91">
        <f t="shared" si="62"/>
        <v>1</v>
      </c>
      <c r="I55" s="95">
        <f t="shared" si="1"/>
        <v>2</v>
      </c>
      <c r="J55" s="91"/>
      <c r="K55" s="256">
        <f t="shared" si="2"/>
        <v>3</v>
      </c>
      <c r="L55" s="101" t="s">
        <v>681</v>
      </c>
      <c r="M55" s="99">
        <v>1</v>
      </c>
      <c r="N55" s="106">
        <v>8000000</v>
      </c>
      <c r="O55" s="144" t="str">
        <f t="shared" si="3"/>
        <v>_x000D__x000D_</v>
      </c>
      <c r="P55" s="144" t="str">
        <f t="shared" si="61"/>
        <v>_x000D__x000D_</v>
      </c>
      <c r="Q55" s="55"/>
      <c r="R55" s="64" t="s">
        <v>918</v>
      </c>
      <c r="S55" s="425"/>
      <c r="T55" s="300" t="s">
        <v>834</v>
      </c>
      <c r="U55" s="300" t="s">
        <v>834</v>
      </c>
      <c r="V55" s="304" t="s">
        <v>834</v>
      </c>
      <c r="W55" s="258"/>
      <c r="X55" s="307" t="s">
        <v>834</v>
      </c>
      <c r="Y55" s="274"/>
      <c r="Z55" s="426"/>
      <c r="AA55" s="320">
        <f t="shared" si="64"/>
        <v>0</v>
      </c>
      <c r="AB55" s="320">
        <f t="shared" si="5"/>
        <v>0</v>
      </c>
      <c r="AC55" s="320">
        <f t="shared" si="6"/>
        <v>0</v>
      </c>
      <c r="AD55" s="320">
        <f t="shared" si="7"/>
        <v>0</v>
      </c>
      <c r="AE55" s="320">
        <f t="shared" si="8"/>
        <v>0</v>
      </c>
      <c r="AF55" s="320">
        <f t="shared" si="9"/>
        <v>0</v>
      </c>
      <c r="AG55" s="320">
        <f t="shared" si="63"/>
        <v>0</v>
      </c>
      <c r="AH55" s="427"/>
      <c r="AI55" s="320">
        <f t="shared" si="11"/>
        <v>0</v>
      </c>
      <c r="AJ55" s="320">
        <f t="shared" si="12"/>
        <v>0</v>
      </c>
      <c r="AK55" s="320">
        <f t="shared" si="13"/>
        <v>0</v>
      </c>
      <c r="AL55" s="320">
        <f t="shared" si="14"/>
        <v>0</v>
      </c>
      <c r="AM55" s="320">
        <f t="shared" si="15"/>
        <v>0</v>
      </c>
      <c r="AN55" s="320">
        <f t="shared" si="16"/>
        <v>0</v>
      </c>
      <c r="AO55" s="427"/>
      <c r="AP55" s="320">
        <f t="shared" si="17"/>
        <v>0</v>
      </c>
      <c r="AQ55" s="320">
        <f t="shared" si="18"/>
        <v>0</v>
      </c>
      <c r="AR55" s="320">
        <f t="shared" si="19"/>
        <v>0</v>
      </c>
      <c r="AS55" s="320">
        <f t="shared" si="20"/>
        <v>0</v>
      </c>
      <c r="AT55" s="320">
        <f t="shared" si="21"/>
        <v>0</v>
      </c>
      <c r="AU55" s="320">
        <f t="shared" si="22"/>
        <v>0</v>
      </c>
      <c r="AV55" s="427"/>
      <c r="AW55" s="320">
        <f t="shared" si="23"/>
        <v>0</v>
      </c>
      <c r="AX55" s="320">
        <f t="shared" si="24"/>
        <v>0</v>
      </c>
      <c r="AY55" s="320">
        <f t="shared" si="25"/>
        <v>0</v>
      </c>
      <c r="AZ55" s="320">
        <f t="shared" si="26"/>
        <v>0</v>
      </c>
      <c r="BA55" s="17"/>
      <c r="BB55" s="17" t="s">
        <v>834</v>
      </c>
      <c r="BC55" s="17"/>
      <c r="BD55" s="17"/>
      <c r="BE55" s="17"/>
      <c r="BF55" s="17"/>
      <c r="BG55" s="428">
        <f t="shared" si="65"/>
        <v>0</v>
      </c>
      <c r="BH55" s="17"/>
      <c r="BI55" s="17"/>
      <c r="BJ55" s="17"/>
      <c r="BK55" s="17"/>
      <c r="BL55" s="17"/>
      <c r="BM55" s="17"/>
      <c r="BN55" s="320">
        <f t="shared" si="66"/>
        <v>0</v>
      </c>
      <c r="BO55" s="320">
        <f t="shared" si="28"/>
        <v>0</v>
      </c>
      <c r="BP55" s="427"/>
      <c r="BQ55" s="427"/>
      <c r="BR55" s="320">
        <f t="shared" si="67"/>
        <v>0</v>
      </c>
      <c r="BS55" s="320">
        <f t="shared" si="67"/>
        <v>0</v>
      </c>
      <c r="BT55" s="427"/>
      <c r="BU55" s="320">
        <f t="shared" si="30"/>
        <v>0</v>
      </c>
      <c r="BV55" s="320">
        <f t="shared" si="31"/>
        <v>0</v>
      </c>
      <c r="BW55" s="320">
        <f t="shared" si="32"/>
        <v>0</v>
      </c>
      <c r="BX55" s="427"/>
      <c r="BY55" s="320">
        <f t="shared" si="33"/>
        <v>0</v>
      </c>
      <c r="BZ55" s="320">
        <f t="shared" si="34"/>
        <v>0</v>
      </c>
      <c r="CA55" s="320">
        <f t="shared" si="35"/>
        <v>0</v>
      </c>
      <c r="CB55" s="320">
        <f t="shared" si="36"/>
        <v>0</v>
      </c>
      <c r="CC55" s="427"/>
      <c r="CD55" s="320">
        <f t="shared" si="37"/>
        <v>0</v>
      </c>
      <c r="CE55" s="320">
        <f t="shared" si="38"/>
        <v>0</v>
      </c>
      <c r="CF55" s="320">
        <f t="shared" si="39"/>
        <v>0</v>
      </c>
      <c r="CG55" s="320">
        <f t="shared" si="40"/>
        <v>0</v>
      </c>
      <c r="CH55" s="427"/>
      <c r="CI55" s="427"/>
      <c r="CJ55" s="427"/>
      <c r="CK55" s="427"/>
      <c r="CL55" s="320">
        <f t="shared" si="53"/>
        <v>0</v>
      </c>
      <c r="CM55" s="320">
        <f t="shared" si="41"/>
        <v>0</v>
      </c>
      <c r="CN55" s="320">
        <f t="shared" si="42"/>
        <v>0</v>
      </c>
      <c r="CO55" s="320">
        <f t="shared" si="43"/>
        <v>0</v>
      </c>
      <c r="CP55" s="427"/>
      <c r="CQ55" s="427"/>
      <c r="CR55" s="320">
        <f t="shared" si="44"/>
        <v>0</v>
      </c>
      <c r="CS55" s="320">
        <f t="shared" si="45"/>
        <v>0</v>
      </c>
      <c r="CT55" s="320">
        <f t="shared" si="58"/>
        <v>0</v>
      </c>
      <c r="CU55" s="320">
        <f t="shared" si="59"/>
        <v>0</v>
      </c>
      <c r="CV55" s="427"/>
      <c r="CW55" s="17"/>
      <c r="CX55" s="320">
        <f t="shared" si="47"/>
        <v>0</v>
      </c>
      <c r="CY55" s="320">
        <f t="shared" si="48"/>
        <v>0</v>
      </c>
      <c r="CZ55" s="320">
        <f t="shared" si="49"/>
        <v>0</v>
      </c>
      <c r="DA55" s="17"/>
      <c r="DB55" s="17"/>
      <c r="DC55" s="17"/>
      <c r="DD55" s="31"/>
      <c r="DE55" s="375"/>
      <c r="DF55" s="375"/>
      <c r="DG55" s="375"/>
      <c r="DH55" s="375"/>
      <c r="DI55" s="375"/>
      <c r="DJ55" s="375"/>
      <c r="DK55" s="375"/>
      <c r="DL55" s="375"/>
      <c r="DM55" s="375"/>
      <c r="DN55" s="375"/>
      <c r="DO55" s="375"/>
      <c r="DP55" s="324"/>
      <c r="DQ55" s="288"/>
      <c r="DR55" s="244"/>
      <c r="DS55" s="429">
        <f t="shared" si="50"/>
        <v>0</v>
      </c>
      <c r="DT55" s="429">
        <f>SUM(BA55:BF55)/5</f>
        <v>0</v>
      </c>
      <c r="DU55" s="429"/>
      <c r="DV55" s="429"/>
      <c r="DW55" s="429"/>
      <c r="DX55" s="429"/>
      <c r="DY55" s="444"/>
      <c r="DZ55" s="134"/>
      <c r="EA55" s="134"/>
      <c r="EB55" s="134"/>
      <c r="EC55" s="134"/>
      <c r="ED55" s="123"/>
      <c r="EG55" s="132"/>
      <c r="EH55" s="32">
        <v>0</v>
      </c>
      <c r="EI55" s="455"/>
      <c r="EJ55" s="33" t="e">
        <f t="shared" si="51"/>
        <v>#VALUE!</v>
      </c>
      <c r="EK55" s="42"/>
      <c r="EL55" s="42"/>
      <c r="EM55" s="42"/>
      <c r="EN55" s="454"/>
      <c r="EO55" s="454"/>
      <c r="EP55" s="454"/>
      <c r="EQ55" s="37" t="s">
        <v>386</v>
      </c>
      <c r="ER55" s="440">
        <v>1</v>
      </c>
      <c r="ES55" s="431"/>
      <c r="ET55" s="431">
        <v>1</v>
      </c>
      <c r="EU55" s="431">
        <v>1</v>
      </c>
      <c r="EV55" s="447"/>
      <c r="EZ55" s="393" t="s">
        <v>75</v>
      </c>
      <c r="FA55" s="393" t="s">
        <v>75</v>
      </c>
      <c r="FB55" s="389">
        <v>160363</v>
      </c>
      <c r="FC55" s="389">
        <v>157249</v>
      </c>
      <c r="FD55" s="389">
        <v>155692</v>
      </c>
      <c r="FE55" s="389">
        <v>154135</v>
      </c>
      <c r="FF55" s="389">
        <v>152578</v>
      </c>
      <c r="FG55" s="390">
        <v>-1.9802987618363233E-3</v>
      </c>
      <c r="FH55" s="390">
        <v>-2.0001027670015158E-3</v>
      </c>
      <c r="FI55" s="390">
        <v>-2.020306873844357E-3</v>
      </c>
      <c r="FJ55" s="391">
        <v>1.0101534369221697E-2</v>
      </c>
      <c r="FK55" s="391" t="s">
        <v>1386</v>
      </c>
      <c r="FL55" s="31" t="s">
        <v>1379</v>
      </c>
      <c r="FN55" s="129"/>
      <c r="FO55" s="129" t="s">
        <v>1492</v>
      </c>
      <c r="FP55" s="129"/>
    </row>
    <row r="56" spans="1:177" ht="22" hidden="1" customHeight="1" x14ac:dyDescent="0.2">
      <c r="A56" s="13" t="s">
        <v>7</v>
      </c>
      <c r="B56" s="14" t="s">
        <v>77</v>
      </c>
      <c r="C56" s="14"/>
      <c r="D56" s="14"/>
      <c r="E56" s="128" t="s">
        <v>78</v>
      </c>
      <c r="F56" s="15"/>
      <c r="G56" s="15" t="s">
        <v>635</v>
      </c>
      <c r="H56" s="91">
        <f t="shared" si="62"/>
        <v>0</v>
      </c>
      <c r="I56" s="95">
        <f t="shared" si="1"/>
        <v>2</v>
      </c>
      <c r="J56" s="91"/>
      <c r="K56" s="256">
        <f t="shared" si="2"/>
        <v>2</v>
      </c>
      <c r="L56" s="101" t="s">
        <v>678</v>
      </c>
      <c r="M56" s="25">
        <v>1</v>
      </c>
      <c r="N56" s="89"/>
      <c r="O56" s="144" t="str">
        <f t="shared" si="3"/>
        <v>_x000D__x000D_</v>
      </c>
      <c r="P56" s="144"/>
      <c r="Q56" s="55"/>
      <c r="R56" s="64" t="s">
        <v>918</v>
      </c>
      <c r="S56" s="425"/>
      <c r="T56" s="301" t="s">
        <v>873</v>
      </c>
      <c r="U56" s="301" t="s">
        <v>834</v>
      </c>
      <c r="V56" s="301" t="s">
        <v>834</v>
      </c>
      <c r="W56" s="258"/>
      <c r="X56" s="307" t="s">
        <v>834</v>
      </c>
      <c r="Y56" s="274"/>
      <c r="Z56" s="426"/>
      <c r="AA56" s="320">
        <f t="shared" si="64"/>
        <v>0</v>
      </c>
      <c r="AB56" s="320">
        <f t="shared" si="5"/>
        <v>0</v>
      </c>
      <c r="AC56" s="320">
        <f t="shared" si="6"/>
        <v>0</v>
      </c>
      <c r="AD56" s="320">
        <f t="shared" si="7"/>
        <v>0</v>
      </c>
      <c r="AE56" s="320">
        <f t="shared" si="8"/>
        <v>0</v>
      </c>
      <c r="AF56" s="320">
        <f t="shared" si="9"/>
        <v>0</v>
      </c>
      <c r="AG56" s="320">
        <f t="shared" si="63"/>
        <v>0</v>
      </c>
      <c r="AH56" s="427"/>
      <c r="AI56" s="320">
        <f t="shared" si="11"/>
        <v>0</v>
      </c>
      <c r="AJ56" s="320">
        <f t="shared" si="12"/>
        <v>0</v>
      </c>
      <c r="AK56" s="320">
        <f t="shared" si="13"/>
        <v>0</v>
      </c>
      <c r="AL56" s="320">
        <f t="shared" si="14"/>
        <v>0</v>
      </c>
      <c r="AM56" s="320">
        <f t="shared" si="15"/>
        <v>0</v>
      </c>
      <c r="AN56" s="320">
        <f t="shared" si="16"/>
        <v>0</v>
      </c>
      <c r="AO56" s="427"/>
      <c r="AP56" s="320">
        <f t="shared" si="17"/>
        <v>0</v>
      </c>
      <c r="AQ56" s="320">
        <f t="shared" si="18"/>
        <v>0</v>
      </c>
      <c r="AR56" s="320">
        <f t="shared" si="19"/>
        <v>0</v>
      </c>
      <c r="AS56" s="320">
        <f t="shared" si="20"/>
        <v>0</v>
      </c>
      <c r="AT56" s="320">
        <f t="shared" si="21"/>
        <v>0</v>
      </c>
      <c r="AU56" s="320">
        <f t="shared" si="22"/>
        <v>0</v>
      </c>
      <c r="AV56" s="427"/>
      <c r="AW56" s="320">
        <f t="shared" si="23"/>
        <v>0</v>
      </c>
      <c r="AX56" s="320">
        <f t="shared" si="24"/>
        <v>0</v>
      </c>
      <c r="AY56" s="320">
        <f t="shared" si="25"/>
        <v>0</v>
      </c>
      <c r="AZ56" s="320">
        <f t="shared" si="26"/>
        <v>0</v>
      </c>
      <c r="BA56" s="17">
        <v>1</v>
      </c>
      <c r="BB56" s="17" t="s">
        <v>873</v>
      </c>
      <c r="BC56" s="17"/>
      <c r="BD56" s="17"/>
      <c r="BE56" s="17"/>
      <c r="BF56" s="17"/>
      <c r="BG56" s="428">
        <f t="shared" si="65"/>
        <v>0</v>
      </c>
      <c r="BH56" s="17"/>
      <c r="BI56" s="17"/>
      <c r="BJ56" s="17"/>
      <c r="BK56" s="17"/>
      <c r="BL56" s="17"/>
      <c r="BM56" s="17"/>
      <c r="BN56" s="320">
        <f t="shared" si="66"/>
        <v>0</v>
      </c>
      <c r="BO56" s="320">
        <f t="shared" si="28"/>
        <v>0</v>
      </c>
      <c r="BP56" s="427"/>
      <c r="BQ56" s="427"/>
      <c r="BR56" s="320">
        <f t="shared" si="67"/>
        <v>0</v>
      </c>
      <c r="BS56" s="320">
        <f t="shared" si="67"/>
        <v>0</v>
      </c>
      <c r="BT56" s="427"/>
      <c r="BU56" s="320">
        <f t="shared" si="30"/>
        <v>0</v>
      </c>
      <c r="BV56" s="320">
        <f t="shared" si="31"/>
        <v>0</v>
      </c>
      <c r="BW56" s="320">
        <f t="shared" si="32"/>
        <v>0</v>
      </c>
      <c r="BX56" s="427"/>
      <c r="BY56" s="320">
        <f t="shared" si="33"/>
        <v>0</v>
      </c>
      <c r="BZ56" s="320">
        <f t="shared" si="34"/>
        <v>0</v>
      </c>
      <c r="CA56" s="320">
        <f t="shared" si="35"/>
        <v>0</v>
      </c>
      <c r="CB56" s="320">
        <f t="shared" si="36"/>
        <v>0</v>
      </c>
      <c r="CC56" s="427"/>
      <c r="CD56" s="320">
        <f t="shared" si="37"/>
        <v>0</v>
      </c>
      <c r="CE56" s="320">
        <f t="shared" si="38"/>
        <v>0</v>
      </c>
      <c r="CF56" s="320">
        <f t="shared" si="39"/>
        <v>0</v>
      </c>
      <c r="CG56" s="320">
        <f t="shared" si="40"/>
        <v>0</v>
      </c>
      <c r="CH56" s="427"/>
      <c r="CI56" s="427"/>
      <c r="CJ56" s="427"/>
      <c r="CK56" s="427"/>
      <c r="CL56" s="320">
        <f t="shared" si="53"/>
        <v>0</v>
      </c>
      <c r="CM56" s="320">
        <f t="shared" si="41"/>
        <v>0</v>
      </c>
      <c r="CN56" s="320">
        <f t="shared" si="42"/>
        <v>0</v>
      </c>
      <c r="CO56" s="320">
        <f t="shared" si="43"/>
        <v>0</v>
      </c>
      <c r="CP56" s="427"/>
      <c r="CQ56" s="427"/>
      <c r="CR56" s="320">
        <f t="shared" si="44"/>
        <v>0</v>
      </c>
      <c r="CS56" s="320">
        <f t="shared" si="45"/>
        <v>0</v>
      </c>
      <c r="CT56" s="320">
        <f t="shared" si="58"/>
        <v>0</v>
      </c>
      <c r="CU56" s="320">
        <f t="shared" si="59"/>
        <v>0</v>
      </c>
      <c r="CV56" s="427"/>
      <c r="CW56" s="17"/>
      <c r="CX56" s="320">
        <f t="shared" si="47"/>
        <v>0</v>
      </c>
      <c r="CY56" s="320">
        <f t="shared" si="48"/>
        <v>0</v>
      </c>
      <c r="CZ56" s="320">
        <f t="shared" si="49"/>
        <v>0</v>
      </c>
      <c r="DA56" s="17"/>
      <c r="DB56" s="17"/>
      <c r="DC56" s="17"/>
      <c r="DD56" s="31"/>
      <c r="DE56" s="321"/>
      <c r="DF56" s="321"/>
      <c r="DG56" s="321"/>
      <c r="DH56" s="321"/>
      <c r="DI56" s="321"/>
      <c r="DJ56" s="321"/>
      <c r="DK56" s="321"/>
      <c r="DL56" s="321"/>
      <c r="DM56" s="321"/>
      <c r="DN56" s="321"/>
      <c r="DO56" s="321"/>
      <c r="DP56" s="322"/>
      <c r="DQ56" s="288"/>
      <c r="DR56" s="241"/>
      <c r="DS56" s="429">
        <f t="shared" si="50"/>
        <v>0</v>
      </c>
      <c r="DT56" s="429"/>
      <c r="DU56" s="429"/>
      <c r="DV56" s="429"/>
      <c r="DW56" s="429"/>
      <c r="DX56" s="429"/>
      <c r="DY56" s="429"/>
      <c r="DZ56" s="134"/>
      <c r="EA56" s="134"/>
      <c r="EB56" s="134"/>
      <c r="EC56" s="134"/>
      <c r="ED56" s="123"/>
      <c r="EG56" s="132"/>
      <c r="EH56" s="32"/>
      <c r="EI56" s="457"/>
      <c r="EJ56" s="33" t="e">
        <f t="shared" si="51"/>
        <v>#VALUE!</v>
      </c>
      <c r="EK56" s="57"/>
      <c r="EL56" s="57"/>
      <c r="EM56" s="57"/>
      <c r="EN56" s="458"/>
      <c r="EO56" s="458"/>
      <c r="EP56" s="458"/>
      <c r="EQ56" s="72" t="s">
        <v>498</v>
      </c>
      <c r="ER56" s="58">
        <v>1</v>
      </c>
      <c r="ES56" s="73"/>
      <c r="ET56" s="442">
        <v>1</v>
      </c>
      <c r="EU56" s="74">
        <v>0</v>
      </c>
      <c r="EV56" s="150"/>
      <c r="EZ56" s="393" t="s">
        <v>78</v>
      </c>
      <c r="FA56" s="393" t="s">
        <v>78</v>
      </c>
      <c r="FB56" s="389">
        <v>543.20000000000005</v>
      </c>
      <c r="FC56" s="389">
        <v>585.5</v>
      </c>
      <c r="FD56" s="389">
        <v>557.70000000000005</v>
      </c>
      <c r="FE56" s="389">
        <v>587.1</v>
      </c>
      <c r="FF56" s="389">
        <v>612.20000000000005</v>
      </c>
      <c r="FG56" s="390">
        <v>-9.4961571306575419E-3</v>
      </c>
      <c r="FH56" s="390">
        <v>1.054330285099515E-2</v>
      </c>
      <c r="FI56" s="390">
        <v>8.5505024697666576E-3</v>
      </c>
      <c r="FJ56" s="391" t="s">
        <v>1389</v>
      </c>
      <c r="FK56" s="391">
        <v>-0.18901101575019238</v>
      </c>
      <c r="FL56" s="31" t="s">
        <v>1394</v>
      </c>
      <c r="FN56" s="128" t="s">
        <v>1493</v>
      </c>
      <c r="FO56" s="128" t="s">
        <v>1494</v>
      </c>
      <c r="FP56" s="128"/>
    </row>
    <row r="57" spans="1:177" ht="22" hidden="1" customHeight="1" x14ac:dyDescent="0.2">
      <c r="A57" s="13" t="s">
        <v>10</v>
      </c>
      <c r="B57" s="14" t="s">
        <v>51</v>
      </c>
      <c r="C57" s="14"/>
      <c r="D57" s="14"/>
      <c r="E57" s="128" t="s">
        <v>79</v>
      </c>
      <c r="F57" s="15"/>
      <c r="G57" s="15" t="s">
        <v>634</v>
      </c>
      <c r="H57" s="91">
        <f t="shared" si="62"/>
        <v>1</v>
      </c>
      <c r="I57" s="95">
        <f t="shared" si="1"/>
        <v>0</v>
      </c>
      <c r="J57" s="91"/>
      <c r="K57" s="256">
        <f t="shared" si="2"/>
        <v>1</v>
      </c>
      <c r="L57" s="101">
        <v>0</v>
      </c>
      <c r="M57" s="25"/>
      <c r="N57" s="89"/>
      <c r="O57" s="144" t="str">
        <f t="shared" si="3"/>
        <v>_x000D__x000D_</v>
      </c>
      <c r="P57" s="144"/>
      <c r="Q57" s="55"/>
      <c r="R57" s="64" t="s">
        <v>918</v>
      </c>
      <c r="S57" s="425"/>
      <c r="T57" s="301" t="s">
        <v>834</v>
      </c>
      <c r="U57" s="301" t="s">
        <v>834</v>
      </c>
      <c r="V57" s="301" t="s">
        <v>834</v>
      </c>
      <c r="W57" s="258"/>
      <c r="X57" s="307" t="s">
        <v>834</v>
      </c>
      <c r="Y57" s="274"/>
      <c r="Z57" s="426"/>
      <c r="AA57" s="320">
        <f t="shared" si="64"/>
        <v>0</v>
      </c>
      <c r="AB57" s="320">
        <f t="shared" si="5"/>
        <v>0</v>
      </c>
      <c r="AC57" s="320">
        <f t="shared" si="6"/>
        <v>0</v>
      </c>
      <c r="AD57" s="320">
        <f t="shared" si="7"/>
        <v>0</v>
      </c>
      <c r="AE57" s="320">
        <f t="shared" si="8"/>
        <v>0</v>
      </c>
      <c r="AF57" s="320">
        <f t="shared" si="9"/>
        <v>0</v>
      </c>
      <c r="AG57" s="320">
        <f t="shared" si="63"/>
        <v>0</v>
      </c>
      <c r="AH57" s="427"/>
      <c r="AI57" s="320">
        <f t="shared" si="11"/>
        <v>0</v>
      </c>
      <c r="AJ57" s="320">
        <f t="shared" si="12"/>
        <v>0</v>
      </c>
      <c r="AK57" s="320">
        <f t="shared" si="13"/>
        <v>0</v>
      </c>
      <c r="AL57" s="320">
        <f t="shared" si="14"/>
        <v>0</v>
      </c>
      <c r="AM57" s="320">
        <f t="shared" si="15"/>
        <v>0</v>
      </c>
      <c r="AN57" s="320">
        <f t="shared" si="16"/>
        <v>0</v>
      </c>
      <c r="AO57" s="427"/>
      <c r="AP57" s="320">
        <f t="shared" si="17"/>
        <v>0</v>
      </c>
      <c r="AQ57" s="320">
        <f t="shared" si="18"/>
        <v>0</v>
      </c>
      <c r="AR57" s="320">
        <f t="shared" si="19"/>
        <v>0</v>
      </c>
      <c r="AS57" s="320">
        <f t="shared" si="20"/>
        <v>0</v>
      </c>
      <c r="AT57" s="320">
        <f t="shared" si="21"/>
        <v>0</v>
      </c>
      <c r="AU57" s="320">
        <f t="shared" si="22"/>
        <v>0</v>
      </c>
      <c r="AV57" s="427"/>
      <c r="AW57" s="320">
        <f t="shared" si="23"/>
        <v>0</v>
      </c>
      <c r="AX57" s="320">
        <f t="shared" si="24"/>
        <v>0</v>
      </c>
      <c r="AY57" s="320">
        <f t="shared" si="25"/>
        <v>0</v>
      </c>
      <c r="AZ57" s="320">
        <f t="shared" si="26"/>
        <v>0</v>
      </c>
      <c r="BA57" s="17"/>
      <c r="BB57" s="17" t="s">
        <v>834</v>
      </c>
      <c r="BC57" s="17"/>
      <c r="BD57" s="17"/>
      <c r="BE57" s="17"/>
      <c r="BF57" s="17"/>
      <c r="BG57" s="428">
        <f t="shared" si="65"/>
        <v>0</v>
      </c>
      <c r="BH57" s="17"/>
      <c r="BI57" s="17"/>
      <c r="BJ57" s="17"/>
      <c r="BK57" s="17"/>
      <c r="BL57" s="17"/>
      <c r="BM57" s="17"/>
      <c r="BN57" s="320">
        <f t="shared" si="66"/>
        <v>0</v>
      </c>
      <c r="BO57" s="320">
        <f t="shared" si="28"/>
        <v>0</v>
      </c>
      <c r="BP57" s="427"/>
      <c r="BQ57" s="427"/>
      <c r="BR57" s="320">
        <f t="shared" si="67"/>
        <v>0</v>
      </c>
      <c r="BS57" s="320">
        <f t="shared" si="67"/>
        <v>0</v>
      </c>
      <c r="BT57" s="427"/>
      <c r="BU57" s="320">
        <f t="shared" si="30"/>
        <v>0</v>
      </c>
      <c r="BV57" s="320">
        <f t="shared" si="31"/>
        <v>0</v>
      </c>
      <c r="BW57" s="320">
        <f t="shared" si="32"/>
        <v>0</v>
      </c>
      <c r="BX57" s="427"/>
      <c r="BY57" s="320">
        <f t="shared" si="33"/>
        <v>0</v>
      </c>
      <c r="BZ57" s="320">
        <f t="shared" si="34"/>
        <v>0</v>
      </c>
      <c r="CA57" s="320">
        <f t="shared" si="35"/>
        <v>0</v>
      </c>
      <c r="CB57" s="320">
        <f t="shared" si="36"/>
        <v>0</v>
      </c>
      <c r="CC57" s="427"/>
      <c r="CD57" s="320">
        <f t="shared" si="37"/>
        <v>0</v>
      </c>
      <c r="CE57" s="320">
        <f t="shared" si="38"/>
        <v>0</v>
      </c>
      <c r="CF57" s="320">
        <f t="shared" si="39"/>
        <v>0</v>
      </c>
      <c r="CG57" s="320">
        <f t="shared" si="40"/>
        <v>0</v>
      </c>
      <c r="CH57" s="427"/>
      <c r="CI57" s="427"/>
      <c r="CJ57" s="427"/>
      <c r="CK57" s="427"/>
      <c r="CL57" s="320">
        <f t="shared" si="53"/>
        <v>0</v>
      </c>
      <c r="CM57" s="320">
        <f t="shared" si="41"/>
        <v>0</v>
      </c>
      <c r="CN57" s="320">
        <f t="shared" si="42"/>
        <v>0</v>
      </c>
      <c r="CO57" s="320">
        <f t="shared" si="43"/>
        <v>0</v>
      </c>
      <c r="CP57" s="427"/>
      <c r="CQ57" s="427"/>
      <c r="CR57" s="320">
        <f t="shared" si="44"/>
        <v>0</v>
      </c>
      <c r="CS57" s="320">
        <f t="shared" si="45"/>
        <v>0</v>
      </c>
      <c r="CT57" s="320">
        <f t="shared" si="58"/>
        <v>0</v>
      </c>
      <c r="CU57" s="320">
        <f t="shared" si="59"/>
        <v>0</v>
      </c>
      <c r="CV57" s="427"/>
      <c r="CW57" s="17"/>
      <c r="CX57" s="320">
        <f t="shared" si="47"/>
        <v>0</v>
      </c>
      <c r="CY57" s="320">
        <f t="shared" si="48"/>
        <v>0</v>
      </c>
      <c r="CZ57" s="320">
        <f t="shared" si="49"/>
        <v>0</v>
      </c>
      <c r="DA57" s="17"/>
      <c r="DB57" s="17"/>
      <c r="DC57" s="17"/>
      <c r="DD57" s="31"/>
      <c r="DE57" s="323"/>
      <c r="DF57" s="323"/>
      <c r="DG57" s="323"/>
      <c r="DH57" s="323"/>
      <c r="DI57" s="323"/>
      <c r="DJ57" s="323"/>
      <c r="DK57" s="323"/>
      <c r="DL57" s="323"/>
      <c r="DM57" s="323"/>
      <c r="DN57" s="323"/>
      <c r="DO57" s="323"/>
      <c r="DP57" s="324"/>
      <c r="DQ57" s="288"/>
      <c r="DR57" s="242"/>
      <c r="DS57" s="429">
        <f t="shared" si="50"/>
        <v>0</v>
      </c>
      <c r="DT57" s="429"/>
      <c r="DU57" s="429"/>
      <c r="DV57" s="429"/>
      <c r="DW57" s="429"/>
      <c r="DX57" s="429"/>
      <c r="DY57" s="429"/>
      <c r="DZ57" s="134"/>
      <c r="EA57" s="134"/>
      <c r="EB57" s="134"/>
      <c r="EC57" s="134"/>
      <c r="ED57" s="123"/>
      <c r="EG57" s="132"/>
      <c r="EH57" s="32"/>
      <c r="EI57" s="455"/>
      <c r="EJ57" s="33" t="b">
        <f t="shared" si="51"/>
        <v>0</v>
      </c>
      <c r="EK57" s="42"/>
      <c r="EL57" s="42"/>
      <c r="EM57" s="42"/>
      <c r="EN57" s="454"/>
      <c r="EO57" s="454"/>
      <c r="EP57" s="454"/>
      <c r="EQ57" s="37" t="s">
        <v>446</v>
      </c>
      <c r="ER57" s="440">
        <v>1</v>
      </c>
      <c r="ES57" s="431">
        <v>1</v>
      </c>
      <c r="ET57" s="431">
        <v>1</v>
      </c>
      <c r="EU57" s="431">
        <v>0</v>
      </c>
      <c r="EV57" s="447">
        <v>0</v>
      </c>
      <c r="EZ57" s="393" t="s">
        <v>79</v>
      </c>
      <c r="FA57" s="393" t="s">
        <v>79</v>
      </c>
      <c r="FB57" s="389">
        <v>5.6</v>
      </c>
      <c r="FC57" s="389">
        <v>5.6</v>
      </c>
      <c r="FD57" s="389">
        <v>5.6</v>
      </c>
      <c r="FE57" s="389">
        <v>5.6</v>
      </c>
      <c r="FF57" s="389">
        <v>5.6</v>
      </c>
      <c r="FG57" s="390">
        <v>0</v>
      </c>
      <c r="FH57" s="390">
        <v>0</v>
      </c>
      <c r="FI57" s="390">
        <v>0</v>
      </c>
      <c r="FJ57" s="391">
        <v>0</v>
      </c>
      <c r="FK57" s="391" t="s">
        <v>1386</v>
      </c>
      <c r="FL57" s="31" t="s">
        <v>1387</v>
      </c>
      <c r="FN57" s="128" t="s">
        <v>1495</v>
      </c>
      <c r="FO57" s="128" t="s">
        <v>1496</v>
      </c>
      <c r="FP57" s="128"/>
    </row>
    <row r="58" spans="1:177" ht="22" hidden="1" customHeight="1" x14ac:dyDescent="0.2">
      <c r="A58" s="13" t="s">
        <v>16</v>
      </c>
      <c r="B58" s="19" t="s">
        <v>17</v>
      </c>
      <c r="C58" s="19"/>
      <c r="D58" s="19"/>
      <c r="E58" s="128" t="s">
        <v>80</v>
      </c>
      <c r="F58" s="15"/>
      <c r="G58" s="15" t="s">
        <v>635</v>
      </c>
      <c r="H58" s="91">
        <f t="shared" si="62"/>
        <v>0</v>
      </c>
      <c r="I58" s="95">
        <f t="shared" si="1"/>
        <v>0</v>
      </c>
      <c r="J58" s="91"/>
      <c r="K58" s="256">
        <f t="shared" si="2"/>
        <v>0</v>
      </c>
      <c r="L58" s="101">
        <v>0</v>
      </c>
      <c r="M58" s="25"/>
      <c r="N58" s="90"/>
      <c r="O58" s="98" t="str">
        <f t="shared" si="3"/>
        <v>_x000D__x000D_</v>
      </c>
      <c r="P58" s="144"/>
      <c r="Q58" s="55"/>
      <c r="R58" s="64" t="s">
        <v>918</v>
      </c>
      <c r="S58" s="425"/>
      <c r="T58" s="301" t="s">
        <v>839</v>
      </c>
      <c r="U58" s="300" t="s">
        <v>897</v>
      </c>
      <c r="V58" s="374" t="s">
        <v>834</v>
      </c>
      <c r="W58" s="258"/>
      <c r="X58" s="307" t="s">
        <v>834</v>
      </c>
      <c r="Y58" s="274"/>
      <c r="Z58" s="426"/>
      <c r="AA58" s="320">
        <f t="shared" si="64"/>
        <v>0</v>
      </c>
      <c r="AB58" s="320">
        <f t="shared" si="5"/>
        <v>0</v>
      </c>
      <c r="AC58" s="320">
        <f t="shared" si="6"/>
        <v>0</v>
      </c>
      <c r="AD58" s="320">
        <f t="shared" si="7"/>
        <v>0</v>
      </c>
      <c r="AE58" s="320">
        <f t="shared" si="8"/>
        <v>0</v>
      </c>
      <c r="AF58" s="320">
        <f t="shared" si="9"/>
        <v>0</v>
      </c>
      <c r="AG58" s="320">
        <f t="shared" si="63"/>
        <v>0</v>
      </c>
      <c r="AH58" s="427"/>
      <c r="AI58" s="320">
        <f t="shared" si="11"/>
        <v>0</v>
      </c>
      <c r="AJ58" s="320">
        <f t="shared" si="12"/>
        <v>0</v>
      </c>
      <c r="AK58" s="320">
        <f t="shared" si="13"/>
        <v>0</v>
      </c>
      <c r="AL58" s="320">
        <f t="shared" si="14"/>
        <v>0</v>
      </c>
      <c r="AM58" s="320">
        <f t="shared" si="15"/>
        <v>0</v>
      </c>
      <c r="AN58" s="320">
        <f t="shared" si="16"/>
        <v>0</v>
      </c>
      <c r="AO58" s="427"/>
      <c r="AP58" s="320">
        <f t="shared" si="17"/>
        <v>0</v>
      </c>
      <c r="AQ58" s="320">
        <f t="shared" si="18"/>
        <v>0</v>
      </c>
      <c r="AR58" s="320">
        <f t="shared" si="19"/>
        <v>0</v>
      </c>
      <c r="AS58" s="320">
        <f t="shared" si="20"/>
        <v>0</v>
      </c>
      <c r="AT58" s="320">
        <f t="shared" si="21"/>
        <v>0</v>
      </c>
      <c r="AU58" s="320">
        <f t="shared" si="22"/>
        <v>0</v>
      </c>
      <c r="AV58" s="427"/>
      <c r="AW58" s="320">
        <f t="shared" si="23"/>
        <v>0</v>
      </c>
      <c r="AX58" s="320">
        <f t="shared" si="24"/>
        <v>0</v>
      </c>
      <c r="AY58" s="320">
        <f t="shared" si="25"/>
        <v>0</v>
      </c>
      <c r="AZ58" s="320">
        <f t="shared" si="26"/>
        <v>0</v>
      </c>
      <c r="BA58" s="17">
        <v>0</v>
      </c>
      <c r="BB58" s="17" t="s">
        <v>839</v>
      </c>
      <c r="BC58" s="17">
        <v>0</v>
      </c>
      <c r="BD58" s="17">
        <v>0</v>
      </c>
      <c r="BE58" s="17">
        <v>0</v>
      </c>
      <c r="BF58" s="17">
        <v>0</v>
      </c>
      <c r="BG58" s="428">
        <f t="shared" si="65"/>
        <v>0</v>
      </c>
      <c r="BH58" s="17"/>
      <c r="BI58" s="17" t="s">
        <v>648</v>
      </c>
      <c r="BJ58" s="17"/>
      <c r="BK58" s="17"/>
      <c r="BL58" s="17"/>
      <c r="BM58" s="17"/>
      <c r="BN58" s="320">
        <f t="shared" si="66"/>
        <v>0</v>
      </c>
      <c r="BO58" s="320">
        <f t="shared" si="28"/>
        <v>0</v>
      </c>
      <c r="BP58" s="427"/>
      <c r="BQ58" s="427"/>
      <c r="BR58" s="320">
        <f t="shared" si="67"/>
        <v>0</v>
      </c>
      <c r="BS58" s="320">
        <f t="shared" si="67"/>
        <v>0</v>
      </c>
      <c r="BT58" s="427"/>
      <c r="BU58" s="320">
        <f t="shared" si="30"/>
        <v>0</v>
      </c>
      <c r="BV58" s="320">
        <f t="shared" si="31"/>
        <v>0</v>
      </c>
      <c r="BW58" s="320">
        <f t="shared" si="32"/>
        <v>0</v>
      </c>
      <c r="BX58" s="427"/>
      <c r="BY58" s="320">
        <f t="shared" si="33"/>
        <v>0</v>
      </c>
      <c r="BZ58" s="320">
        <f t="shared" si="34"/>
        <v>0</v>
      </c>
      <c r="CA58" s="320">
        <f t="shared" si="35"/>
        <v>0</v>
      </c>
      <c r="CB58" s="320">
        <f t="shared" si="36"/>
        <v>0</v>
      </c>
      <c r="CC58" s="427"/>
      <c r="CD58" s="320">
        <f t="shared" si="37"/>
        <v>0</v>
      </c>
      <c r="CE58" s="320">
        <f t="shared" si="38"/>
        <v>0</v>
      </c>
      <c r="CF58" s="320">
        <f t="shared" si="39"/>
        <v>0</v>
      </c>
      <c r="CG58" s="320">
        <f t="shared" si="40"/>
        <v>0</v>
      </c>
      <c r="CH58" s="427"/>
      <c r="CI58" s="427"/>
      <c r="CJ58" s="427"/>
      <c r="CK58" s="427"/>
      <c r="CL58" s="320">
        <f t="shared" si="53"/>
        <v>0</v>
      </c>
      <c r="CM58" s="320">
        <f t="shared" si="41"/>
        <v>0</v>
      </c>
      <c r="CN58" s="320">
        <f t="shared" si="42"/>
        <v>0</v>
      </c>
      <c r="CO58" s="320">
        <f t="shared" si="43"/>
        <v>0</v>
      </c>
      <c r="CP58" s="427"/>
      <c r="CQ58" s="427"/>
      <c r="CR58" s="320">
        <f t="shared" si="44"/>
        <v>0</v>
      </c>
      <c r="CS58" s="320">
        <f t="shared" si="45"/>
        <v>0</v>
      </c>
      <c r="CT58" s="320">
        <f t="shared" si="58"/>
        <v>0</v>
      </c>
      <c r="CU58" s="320">
        <f t="shared" si="59"/>
        <v>0</v>
      </c>
      <c r="CV58" s="427"/>
      <c r="CW58" s="17"/>
      <c r="CX58" s="320">
        <f t="shared" si="47"/>
        <v>0</v>
      </c>
      <c r="CY58" s="320">
        <f t="shared" si="48"/>
        <v>0</v>
      </c>
      <c r="CZ58" s="320">
        <f t="shared" si="49"/>
        <v>0</v>
      </c>
      <c r="DA58" s="17"/>
      <c r="DB58" s="17"/>
      <c r="DC58" s="17"/>
      <c r="DD58" s="31"/>
      <c r="DE58" s="330"/>
      <c r="DF58" s="330"/>
      <c r="DG58" s="330"/>
      <c r="DH58" s="330"/>
      <c r="DI58" s="330"/>
      <c r="DJ58" s="330"/>
      <c r="DK58" s="330"/>
      <c r="DL58" s="330"/>
      <c r="DM58" s="330"/>
      <c r="DN58" s="330"/>
      <c r="DO58" s="330"/>
      <c r="DP58" s="322"/>
      <c r="DQ58" s="288"/>
      <c r="DR58" s="241"/>
      <c r="DS58" s="429">
        <f t="shared" si="50"/>
        <v>0</v>
      </c>
      <c r="DT58" s="429"/>
      <c r="DU58" s="429"/>
      <c r="DV58" s="429"/>
      <c r="DW58" s="429"/>
      <c r="DX58" s="429"/>
      <c r="DY58" s="429"/>
      <c r="DZ58" s="134"/>
      <c r="EA58" s="134"/>
      <c r="EB58" s="134"/>
      <c r="EC58" s="134"/>
      <c r="ED58" s="123"/>
      <c r="EG58" s="132"/>
      <c r="EH58" s="32">
        <v>1</v>
      </c>
      <c r="EI58" s="459">
        <v>1204893</v>
      </c>
      <c r="EJ58" s="33" t="b">
        <f t="shared" si="51"/>
        <v>0</v>
      </c>
      <c r="EK58" s="42"/>
      <c r="EL58" s="42"/>
      <c r="EM58" s="42"/>
      <c r="EN58" s="454"/>
      <c r="EO58" s="454"/>
      <c r="EP58" s="454"/>
      <c r="EQ58" s="71"/>
      <c r="ER58" s="440">
        <v>1</v>
      </c>
      <c r="ES58" s="431"/>
      <c r="ET58" s="431">
        <v>1</v>
      </c>
      <c r="EU58" s="431" t="s">
        <v>460</v>
      </c>
      <c r="EV58" s="447"/>
      <c r="EZ58" s="393" t="s">
        <v>80</v>
      </c>
      <c r="FA58" s="393" t="s">
        <v>80</v>
      </c>
      <c r="FB58" s="389">
        <v>50</v>
      </c>
      <c r="FC58" s="389">
        <v>47.33</v>
      </c>
      <c r="FD58" s="389">
        <v>45.99</v>
      </c>
      <c r="FE58" s="389">
        <v>44.66</v>
      </c>
      <c r="FF58" s="389">
        <v>43.33</v>
      </c>
      <c r="FG58" s="390">
        <v>-5.6623705894781173E-3</v>
      </c>
      <c r="FH58" s="390">
        <v>-5.7838660578386838E-3</v>
      </c>
      <c r="FI58" s="390">
        <v>-5.9561128526645695E-3</v>
      </c>
      <c r="FJ58" s="391">
        <v>2.9780564263317485E-2</v>
      </c>
      <c r="FK58" s="391" t="s">
        <v>1386</v>
      </c>
      <c r="FL58" s="31" t="s">
        <v>1379</v>
      </c>
      <c r="FN58" s="128" t="s">
        <v>1497</v>
      </c>
      <c r="FO58" s="128" t="s">
        <v>1498</v>
      </c>
      <c r="FP58" s="128"/>
    </row>
    <row r="59" spans="1:177" ht="22" hidden="1" customHeight="1" x14ac:dyDescent="0.2">
      <c r="A59" s="13" t="s">
        <v>16</v>
      </c>
      <c r="B59" s="145" t="s">
        <v>17</v>
      </c>
      <c r="C59" s="145"/>
      <c r="D59" s="145"/>
      <c r="E59" s="128" t="s">
        <v>81</v>
      </c>
      <c r="F59" s="20" t="s">
        <v>637</v>
      </c>
      <c r="G59" s="15" t="s">
        <v>635</v>
      </c>
      <c r="H59" s="95">
        <f t="shared" si="62"/>
        <v>0</v>
      </c>
      <c r="I59" s="95">
        <f t="shared" si="1"/>
        <v>2</v>
      </c>
      <c r="J59" s="95"/>
      <c r="K59" s="256">
        <f t="shared" si="2"/>
        <v>2</v>
      </c>
      <c r="L59" s="278" t="s">
        <v>679</v>
      </c>
      <c r="M59" s="25">
        <v>1</v>
      </c>
      <c r="N59" s="443">
        <v>1000000</v>
      </c>
      <c r="O59" s="98" t="str">
        <f t="shared" si="3"/>
        <v>_x000D__x000D_</v>
      </c>
      <c r="P59" s="144" t="str">
        <f>CONCATENATE(V59,R59,X59)</f>
        <v>N/A_x000D__x000D_</v>
      </c>
      <c r="Q59" s="55"/>
      <c r="R59" s="64" t="s">
        <v>918</v>
      </c>
      <c r="S59" s="425"/>
      <c r="T59" s="300" t="s">
        <v>847</v>
      </c>
      <c r="U59" s="300" t="s">
        <v>893</v>
      </c>
      <c r="V59" s="300" t="s">
        <v>388</v>
      </c>
      <c r="W59" s="258"/>
      <c r="X59" s="307"/>
      <c r="Y59" s="274"/>
      <c r="Z59" s="426" t="s">
        <v>221</v>
      </c>
      <c r="AA59" s="320">
        <f t="shared" si="64"/>
        <v>1</v>
      </c>
      <c r="AB59" s="320">
        <f t="shared" si="5"/>
        <v>1</v>
      </c>
      <c r="AC59" s="320">
        <f t="shared" si="6"/>
        <v>0</v>
      </c>
      <c r="AD59" s="320">
        <f t="shared" si="7"/>
        <v>0</v>
      </c>
      <c r="AE59" s="320">
        <f t="shared" si="8"/>
        <v>0</v>
      </c>
      <c r="AF59" s="320">
        <f t="shared" si="9"/>
        <v>0</v>
      </c>
      <c r="AG59" s="320">
        <f t="shared" si="63"/>
        <v>1</v>
      </c>
      <c r="AH59" s="427">
        <v>1</v>
      </c>
      <c r="AI59" s="320">
        <f t="shared" si="11"/>
        <v>1</v>
      </c>
      <c r="AJ59" s="320">
        <f t="shared" si="12"/>
        <v>0</v>
      </c>
      <c r="AK59" s="320">
        <f t="shared" si="13"/>
        <v>0</v>
      </c>
      <c r="AL59" s="320">
        <f t="shared" si="14"/>
        <v>0</v>
      </c>
      <c r="AM59" s="320">
        <f t="shared" si="15"/>
        <v>0</v>
      </c>
      <c r="AN59" s="320">
        <f t="shared" si="16"/>
        <v>0</v>
      </c>
      <c r="AO59" s="427">
        <v>1</v>
      </c>
      <c r="AP59" s="320">
        <f t="shared" si="17"/>
        <v>1</v>
      </c>
      <c r="AQ59" s="320">
        <f t="shared" si="18"/>
        <v>0</v>
      </c>
      <c r="AR59" s="320">
        <f t="shared" si="19"/>
        <v>0</v>
      </c>
      <c r="AS59" s="320">
        <f t="shared" si="20"/>
        <v>0</v>
      </c>
      <c r="AT59" s="320">
        <f t="shared" si="21"/>
        <v>0</v>
      </c>
      <c r="AU59" s="320">
        <f t="shared" si="22"/>
        <v>0</v>
      </c>
      <c r="AV59" s="427">
        <v>1</v>
      </c>
      <c r="AW59" s="320">
        <f t="shared" si="23"/>
        <v>1</v>
      </c>
      <c r="AX59" s="320">
        <f t="shared" si="24"/>
        <v>0</v>
      </c>
      <c r="AY59" s="320">
        <f t="shared" si="25"/>
        <v>0</v>
      </c>
      <c r="AZ59" s="320">
        <f t="shared" si="26"/>
        <v>0</v>
      </c>
      <c r="BA59" s="17">
        <v>1</v>
      </c>
      <c r="BB59" s="17" t="s">
        <v>847</v>
      </c>
      <c r="BC59" s="17">
        <v>1</v>
      </c>
      <c r="BD59" s="17">
        <v>1</v>
      </c>
      <c r="BE59" s="17">
        <v>0</v>
      </c>
      <c r="BF59" s="17">
        <v>0</v>
      </c>
      <c r="BG59" s="428">
        <f t="shared" si="65"/>
        <v>0</v>
      </c>
      <c r="BH59" s="17"/>
      <c r="BI59" s="17">
        <v>1</v>
      </c>
      <c r="BJ59" s="17" t="s">
        <v>893</v>
      </c>
      <c r="BK59" s="17"/>
      <c r="BL59" s="17">
        <v>0</v>
      </c>
      <c r="BM59" s="17" t="s">
        <v>834</v>
      </c>
      <c r="BN59" s="320">
        <f t="shared" si="66"/>
        <v>0</v>
      </c>
      <c r="BO59" s="320">
        <f t="shared" si="28"/>
        <v>0</v>
      </c>
      <c r="BP59" s="427">
        <v>1</v>
      </c>
      <c r="BQ59" s="427" t="s">
        <v>1157</v>
      </c>
      <c r="BR59" s="320">
        <f t="shared" si="67"/>
        <v>1</v>
      </c>
      <c r="BS59" s="320">
        <f t="shared" si="67"/>
        <v>1</v>
      </c>
      <c r="BT59" s="427">
        <v>1</v>
      </c>
      <c r="BU59" s="320">
        <f t="shared" si="30"/>
        <v>1</v>
      </c>
      <c r="BV59" s="320">
        <f t="shared" si="31"/>
        <v>0</v>
      </c>
      <c r="BW59" s="320">
        <f t="shared" si="32"/>
        <v>0</v>
      </c>
      <c r="BX59" s="427" t="s">
        <v>228</v>
      </c>
      <c r="BY59" s="320">
        <f t="shared" si="33"/>
        <v>1</v>
      </c>
      <c r="BZ59" s="320">
        <f t="shared" si="34"/>
        <v>1</v>
      </c>
      <c r="CA59" s="320">
        <f t="shared" si="35"/>
        <v>0</v>
      </c>
      <c r="CB59" s="320">
        <f t="shared" si="36"/>
        <v>0</v>
      </c>
      <c r="CC59" s="427">
        <v>1</v>
      </c>
      <c r="CD59" s="320">
        <f t="shared" si="37"/>
        <v>1</v>
      </c>
      <c r="CE59" s="320">
        <f t="shared" si="38"/>
        <v>0</v>
      </c>
      <c r="CF59" s="320">
        <f t="shared" si="39"/>
        <v>0</v>
      </c>
      <c r="CG59" s="320">
        <f t="shared" si="40"/>
        <v>0</v>
      </c>
      <c r="CH59" s="427">
        <v>1</v>
      </c>
      <c r="CI59" s="427">
        <v>0</v>
      </c>
      <c r="CJ59" s="427">
        <v>0</v>
      </c>
      <c r="CK59" s="427">
        <v>0</v>
      </c>
      <c r="CL59" s="320">
        <f t="shared" si="53"/>
        <v>0</v>
      </c>
      <c r="CM59" s="320">
        <f t="shared" si="41"/>
        <v>0</v>
      </c>
      <c r="CN59" s="320">
        <f t="shared" si="42"/>
        <v>0</v>
      </c>
      <c r="CO59" s="320">
        <f t="shared" si="43"/>
        <v>0</v>
      </c>
      <c r="CP59" s="427">
        <v>1</v>
      </c>
      <c r="CQ59" s="427" t="s">
        <v>76</v>
      </c>
      <c r="CR59" s="320">
        <f t="shared" si="44"/>
        <v>1</v>
      </c>
      <c r="CS59" s="320">
        <f t="shared" si="45"/>
        <v>0</v>
      </c>
      <c r="CT59" s="320">
        <f t="shared" si="58"/>
        <v>1</v>
      </c>
      <c r="CU59" s="320">
        <f t="shared" si="59"/>
        <v>0</v>
      </c>
      <c r="CV59" s="427">
        <v>1</v>
      </c>
      <c r="CW59" s="17">
        <v>0</v>
      </c>
      <c r="CX59" s="320">
        <f t="shared" si="47"/>
        <v>0</v>
      </c>
      <c r="CY59" s="320">
        <f t="shared" si="48"/>
        <v>0</v>
      </c>
      <c r="CZ59" s="320">
        <f t="shared" si="49"/>
        <v>0</v>
      </c>
      <c r="DA59" s="17">
        <v>0</v>
      </c>
      <c r="DB59" s="17">
        <v>0</v>
      </c>
      <c r="DC59" s="17">
        <v>1</v>
      </c>
      <c r="DD59" s="31"/>
      <c r="DE59" s="323" t="s">
        <v>388</v>
      </c>
      <c r="DF59" s="323" t="s">
        <v>388</v>
      </c>
      <c r="DG59" s="323" t="s">
        <v>388</v>
      </c>
      <c r="DH59" s="323" t="s">
        <v>388</v>
      </c>
      <c r="DI59" s="323"/>
      <c r="DJ59" s="323" t="s">
        <v>388</v>
      </c>
      <c r="DK59" s="323" t="s">
        <v>388</v>
      </c>
      <c r="DL59" s="323" t="s">
        <v>388</v>
      </c>
      <c r="DM59" s="323" t="s">
        <v>445</v>
      </c>
      <c r="DN59" s="323" t="s">
        <v>388</v>
      </c>
      <c r="DO59" s="323" t="s">
        <v>388</v>
      </c>
      <c r="DP59" s="324"/>
      <c r="DQ59" s="289"/>
      <c r="DR59" s="240">
        <f>SUM(DS59:DX59)/6</f>
        <v>0.41662640901771336</v>
      </c>
      <c r="DS59" s="429">
        <f t="shared" si="50"/>
        <v>0.2608695652173913</v>
      </c>
      <c r="DT59" s="429">
        <f>SUM(BA59:BE59,BG59)/5</f>
        <v>0.6</v>
      </c>
      <c r="DU59" s="429">
        <f>SUM(BI59,BO59,BS59,BU59:BW59)/6</f>
        <v>0.5</v>
      </c>
      <c r="DV59" s="429">
        <f>SUM(BY59-CB59,CD59-CG59)/8</f>
        <v>0.25</v>
      </c>
      <c r="DW59" s="429">
        <f>SUM(CH59:CJ59,CL59:CO59,BN59,BR59)/9</f>
        <v>0.22222222222222221</v>
      </c>
      <c r="DX59" s="429">
        <f>SUM(CP59,CR59:CV59)/6</f>
        <v>0.66666666666666663</v>
      </c>
      <c r="DY59" s="444"/>
      <c r="DZ59" s="140" t="s">
        <v>714</v>
      </c>
      <c r="EA59" s="140" t="s">
        <v>715</v>
      </c>
      <c r="EB59" s="139" t="s">
        <v>801</v>
      </c>
      <c r="EC59" s="139" t="s">
        <v>782</v>
      </c>
      <c r="ED59" s="123">
        <v>2</v>
      </c>
      <c r="EG59" s="132"/>
      <c r="EH59" s="32"/>
      <c r="EI59" s="455"/>
      <c r="EJ59" s="33" t="e">
        <f t="shared" si="51"/>
        <v>#VALUE!</v>
      </c>
      <c r="EK59" s="42"/>
      <c r="EL59" s="42"/>
      <c r="EM59" s="42"/>
      <c r="EN59" s="454"/>
      <c r="EO59" s="454"/>
      <c r="EP59" s="454"/>
      <c r="EQ59" s="37" t="s">
        <v>386</v>
      </c>
      <c r="ER59" s="440">
        <v>1</v>
      </c>
      <c r="ES59" s="431"/>
      <c r="ET59" s="431">
        <v>1</v>
      </c>
      <c r="EU59" s="431">
        <v>0</v>
      </c>
      <c r="EV59" s="447"/>
      <c r="EZ59" s="393" t="s">
        <v>81</v>
      </c>
      <c r="FA59" s="393" t="s">
        <v>81</v>
      </c>
      <c r="FB59" s="389">
        <v>1105</v>
      </c>
      <c r="FC59" s="389">
        <v>1486</v>
      </c>
      <c r="FD59" s="389">
        <v>1652</v>
      </c>
      <c r="FE59" s="389">
        <v>1817</v>
      </c>
      <c r="FF59" s="389">
        <v>1983</v>
      </c>
      <c r="FG59" s="390">
        <v>2.2341857335127859E-2</v>
      </c>
      <c r="FH59" s="390">
        <v>1.9975786924939468E-2</v>
      </c>
      <c r="FI59" s="390">
        <v>1.8271876719867915E-2</v>
      </c>
      <c r="FJ59" s="391" t="s">
        <v>1389</v>
      </c>
      <c r="FK59" s="391">
        <v>-8.5298777538733495E-2</v>
      </c>
      <c r="FL59" s="31" t="s">
        <v>1394</v>
      </c>
      <c r="FN59" s="342" t="s">
        <v>1499</v>
      </c>
      <c r="FO59" s="342" t="s">
        <v>1500</v>
      </c>
      <c r="FP59" s="342"/>
    </row>
    <row r="60" spans="1:177" ht="22" hidden="1" customHeight="1" x14ac:dyDescent="0.2">
      <c r="A60" s="16" t="s">
        <v>16</v>
      </c>
      <c r="B60" s="19" t="s">
        <v>19</v>
      </c>
      <c r="C60" s="9" t="s">
        <v>1030</v>
      </c>
      <c r="D60" s="364"/>
      <c r="E60" s="127" t="s">
        <v>82</v>
      </c>
      <c r="F60" s="15" t="s">
        <v>637</v>
      </c>
      <c r="G60" s="15" t="s">
        <v>634</v>
      </c>
      <c r="H60" s="91">
        <f t="shared" si="62"/>
        <v>1</v>
      </c>
      <c r="I60" s="95">
        <f t="shared" si="1"/>
        <v>2</v>
      </c>
      <c r="J60" s="91">
        <v>2</v>
      </c>
      <c r="K60" s="256">
        <f t="shared" si="2"/>
        <v>5</v>
      </c>
      <c r="L60" s="101" t="s">
        <v>679</v>
      </c>
      <c r="M60" s="99">
        <v>1</v>
      </c>
      <c r="N60" s="443">
        <v>500000</v>
      </c>
      <c r="O60" s="144" t="str">
        <f t="shared" si="3"/>
        <v>Restore 500,000 hectares of forest by 2017 and 1,300,000 by 2025_x000D__x000D_-</v>
      </c>
      <c r="P60" s="144" t="str">
        <f>CONCATENATE(V60,R60,X60)</f>
        <v>N/A_x000D__x000D_The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implementation of adaptation measures for ecosystems and ground and water ecosystem species, coastline, continental and oceanic island water systems, both in rural and urban areas._x000D__x000D_The forestry and agriculture plan is made up of 21 measures which mainly focus around water management, research, in- formation and capacity-building, risk management and agricultural insurance and forestry management.</v>
      </c>
      <c r="Q60" s="232" t="s">
        <v>515</v>
      </c>
      <c r="R60" s="64" t="s">
        <v>918</v>
      </c>
      <c r="S60" s="446" t="s">
        <v>386</v>
      </c>
      <c r="T60" s="300" t="s">
        <v>949</v>
      </c>
      <c r="U60" s="300" t="s">
        <v>950</v>
      </c>
      <c r="V60" s="313" t="s">
        <v>388</v>
      </c>
      <c r="W60" s="258" t="s">
        <v>450</v>
      </c>
      <c r="X60" s="307" t="s">
        <v>1061</v>
      </c>
      <c r="Y60" s="297"/>
      <c r="Z60" s="426" t="s">
        <v>229</v>
      </c>
      <c r="AA60" s="320">
        <f t="shared" si="64"/>
        <v>0</v>
      </c>
      <c r="AB60" s="320">
        <f t="shared" si="5"/>
        <v>0</v>
      </c>
      <c r="AC60" s="320">
        <f t="shared" si="6"/>
        <v>0</v>
      </c>
      <c r="AD60" s="320">
        <f t="shared" si="7"/>
        <v>0</v>
      </c>
      <c r="AE60" s="320">
        <f t="shared" si="8"/>
        <v>0</v>
      </c>
      <c r="AF60" s="320">
        <f t="shared" si="9"/>
        <v>0</v>
      </c>
      <c r="AG60" s="320">
        <f t="shared" si="63"/>
        <v>1</v>
      </c>
      <c r="AH60" s="427">
        <v>1</v>
      </c>
      <c r="AI60" s="320">
        <f t="shared" si="11"/>
        <v>1</v>
      </c>
      <c r="AJ60" s="320">
        <f t="shared" si="12"/>
        <v>0</v>
      </c>
      <c r="AK60" s="320">
        <f t="shared" si="13"/>
        <v>0</v>
      </c>
      <c r="AL60" s="320">
        <f t="shared" si="14"/>
        <v>0</v>
      </c>
      <c r="AM60" s="320">
        <f t="shared" si="15"/>
        <v>0</v>
      </c>
      <c r="AN60" s="320">
        <f t="shared" si="16"/>
        <v>0</v>
      </c>
      <c r="AO60" s="427">
        <v>1</v>
      </c>
      <c r="AP60" s="320">
        <f t="shared" si="17"/>
        <v>1</v>
      </c>
      <c r="AQ60" s="320">
        <f t="shared" si="18"/>
        <v>0</v>
      </c>
      <c r="AR60" s="320">
        <f t="shared" si="19"/>
        <v>0</v>
      </c>
      <c r="AS60" s="320">
        <f t="shared" si="20"/>
        <v>0</v>
      </c>
      <c r="AT60" s="320">
        <f t="shared" si="21"/>
        <v>0</v>
      </c>
      <c r="AU60" s="320">
        <f t="shared" si="22"/>
        <v>0</v>
      </c>
      <c r="AV60" s="427">
        <v>1</v>
      </c>
      <c r="AW60" s="320">
        <f t="shared" si="23"/>
        <v>1</v>
      </c>
      <c r="AX60" s="320">
        <f t="shared" si="24"/>
        <v>0</v>
      </c>
      <c r="AY60" s="320">
        <f t="shared" si="25"/>
        <v>0</v>
      </c>
      <c r="AZ60" s="320">
        <f t="shared" si="26"/>
        <v>0</v>
      </c>
      <c r="BA60" s="17">
        <v>1</v>
      </c>
      <c r="BB60" s="17" t="s">
        <v>1291</v>
      </c>
      <c r="BC60" s="17">
        <v>1</v>
      </c>
      <c r="BD60" s="17">
        <v>1</v>
      </c>
      <c r="BE60" s="17">
        <v>1</v>
      </c>
      <c r="BF60" s="17">
        <v>0</v>
      </c>
      <c r="BG60" s="428">
        <f t="shared" si="65"/>
        <v>0</v>
      </c>
      <c r="BH60" s="17"/>
      <c r="BI60" s="17">
        <v>1</v>
      </c>
      <c r="BJ60" s="17" t="s">
        <v>1141</v>
      </c>
      <c r="BK60" s="17"/>
      <c r="BL60" s="17">
        <v>0</v>
      </c>
      <c r="BM60" s="17" t="s">
        <v>1151</v>
      </c>
      <c r="BN60" s="320">
        <f t="shared" si="66"/>
        <v>0</v>
      </c>
      <c r="BO60" s="320">
        <f t="shared" si="28"/>
        <v>0</v>
      </c>
      <c r="BP60" s="427">
        <v>0</v>
      </c>
      <c r="BQ60" s="427" t="s">
        <v>834</v>
      </c>
      <c r="BR60" s="320">
        <f t="shared" si="67"/>
        <v>0</v>
      </c>
      <c r="BS60" s="320">
        <f t="shared" si="67"/>
        <v>0</v>
      </c>
      <c r="BT60" s="427">
        <v>0</v>
      </c>
      <c r="BU60" s="320">
        <f t="shared" si="30"/>
        <v>0</v>
      </c>
      <c r="BV60" s="320">
        <f t="shared" si="31"/>
        <v>0</v>
      </c>
      <c r="BW60" s="320">
        <f t="shared" si="32"/>
        <v>0</v>
      </c>
      <c r="BX60" s="427" t="s">
        <v>76</v>
      </c>
      <c r="BY60" s="320">
        <f t="shared" si="33"/>
        <v>1</v>
      </c>
      <c r="BZ60" s="320">
        <f t="shared" si="34"/>
        <v>1</v>
      </c>
      <c r="CA60" s="320">
        <f t="shared" si="35"/>
        <v>0</v>
      </c>
      <c r="CB60" s="320">
        <f t="shared" si="36"/>
        <v>0</v>
      </c>
      <c r="CC60" s="427" t="s">
        <v>244</v>
      </c>
      <c r="CD60" s="320">
        <f t="shared" si="37"/>
        <v>1</v>
      </c>
      <c r="CE60" s="320">
        <f t="shared" si="38"/>
        <v>1</v>
      </c>
      <c r="CF60" s="320">
        <f t="shared" si="39"/>
        <v>1</v>
      </c>
      <c r="CG60" s="320">
        <f t="shared" si="40"/>
        <v>0</v>
      </c>
      <c r="CH60" s="427">
        <v>1</v>
      </c>
      <c r="CI60" s="427">
        <v>0</v>
      </c>
      <c r="CJ60" s="427">
        <v>0</v>
      </c>
      <c r="CK60" s="427">
        <v>0</v>
      </c>
      <c r="CL60" s="320">
        <f t="shared" si="53"/>
        <v>0</v>
      </c>
      <c r="CM60" s="320">
        <f t="shared" si="41"/>
        <v>0</v>
      </c>
      <c r="CN60" s="320">
        <f t="shared" si="42"/>
        <v>0</v>
      </c>
      <c r="CO60" s="320">
        <f t="shared" si="43"/>
        <v>0</v>
      </c>
      <c r="CP60" s="427">
        <v>1</v>
      </c>
      <c r="CQ60" s="427">
        <v>1.2</v>
      </c>
      <c r="CR60" s="320">
        <f t="shared" si="44"/>
        <v>1</v>
      </c>
      <c r="CS60" s="320">
        <f t="shared" si="45"/>
        <v>0</v>
      </c>
      <c r="CT60" s="320">
        <f t="shared" si="58"/>
        <v>1</v>
      </c>
      <c r="CU60" s="320">
        <f t="shared" si="59"/>
        <v>0</v>
      </c>
      <c r="CV60" s="427">
        <v>1</v>
      </c>
      <c r="CW60" s="17">
        <v>0</v>
      </c>
      <c r="CX60" s="320">
        <f t="shared" si="47"/>
        <v>0</v>
      </c>
      <c r="CY60" s="320">
        <f t="shared" si="48"/>
        <v>0</v>
      </c>
      <c r="CZ60" s="320">
        <f t="shared" si="49"/>
        <v>0</v>
      </c>
      <c r="DA60" s="17">
        <v>1</v>
      </c>
      <c r="DB60" s="17">
        <v>1</v>
      </c>
      <c r="DC60" s="17">
        <v>1</v>
      </c>
      <c r="DD60" s="31"/>
      <c r="DE60" s="321" t="s">
        <v>388</v>
      </c>
      <c r="DF60" s="321" t="s">
        <v>388</v>
      </c>
      <c r="DG60" s="321" t="s">
        <v>388</v>
      </c>
      <c r="DH60" s="321" t="s">
        <v>392</v>
      </c>
      <c r="DI60" s="321"/>
      <c r="DJ60" s="321" t="s">
        <v>447</v>
      </c>
      <c r="DK60" s="321" t="s">
        <v>388</v>
      </c>
      <c r="DL60" s="321" t="s">
        <v>448</v>
      </c>
      <c r="DM60" s="321" t="s">
        <v>449</v>
      </c>
      <c r="DN60" s="321" t="s">
        <v>388</v>
      </c>
      <c r="DO60" s="325">
        <v>0.43</v>
      </c>
      <c r="DP60" s="322" t="s">
        <v>450</v>
      </c>
      <c r="DQ60" s="289"/>
      <c r="DR60" s="240">
        <f>SUM(DS60:DX60)/6</f>
        <v>0.3613929146537842</v>
      </c>
      <c r="DS60" s="429">
        <f t="shared" si="50"/>
        <v>0.17391304347826086</v>
      </c>
      <c r="DT60" s="429">
        <f>SUM(BA60:BE60,BG60)/5</f>
        <v>0.8</v>
      </c>
      <c r="DU60" s="429">
        <f>SUM(BI60,BO60,BS60,BU60:BW60)/6</f>
        <v>0.16666666666666666</v>
      </c>
      <c r="DV60" s="429">
        <f>SUM(BY60-CB60,CD60-CG60)/8</f>
        <v>0.25</v>
      </c>
      <c r="DW60" s="429">
        <f>SUM(CH60:CJ60,CL60:CO60,BN60,BR60)/9</f>
        <v>0.1111111111111111</v>
      </c>
      <c r="DX60" s="429">
        <f>SUM(CP60,CR60:CV60)/6</f>
        <v>0.66666666666666663</v>
      </c>
      <c r="DY60" s="444"/>
      <c r="DZ60" s="140" t="s">
        <v>696</v>
      </c>
      <c r="EA60" s="140" t="s">
        <v>697</v>
      </c>
      <c r="EB60" s="139" t="s">
        <v>792</v>
      </c>
      <c r="EC60" s="139" t="s">
        <v>770</v>
      </c>
      <c r="ED60" s="123">
        <v>1</v>
      </c>
      <c r="EG60" s="132"/>
      <c r="EH60" s="32">
        <v>0</v>
      </c>
      <c r="EI60" s="455"/>
      <c r="EJ60" s="33" t="e">
        <f t="shared" si="51"/>
        <v>#VALUE!</v>
      </c>
      <c r="EK60" s="42"/>
      <c r="EL60" s="42"/>
      <c r="EM60" s="42"/>
      <c r="EN60" s="454"/>
      <c r="EO60" s="454"/>
      <c r="EP60" s="454"/>
      <c r="EQ60" s="37" t="s">
        <v>386</v>
      </c>
      <c r="ER60" s="58">
        <v>1</v>
      </c>
      <c r="ES60" s="96"/>
      <c r="ET60" s="442">
        <v>0</v>
      </c>
      <c r="EU60" s="97">
        <v>0</v>
      </c>
      <c r="EV60" s="149"/>
      <c r="EZ60" s="393" t="s">
        <v>82</v>
      </c>
      <c r="FA60" s="393" t="s">
        <v>82</v>
      </c>
      <c r="FB60" s="389">
        <v>14630.847</v>
      </c>
      <c r="FC60" s="389">
        <v>13728.915999999999</v>
      </c>
      <c r="FD60" s="389">
        <v>13335.236000000001</v>
      </c>
      <c r="FE60" s="389">
        <v>12941.556</v>
      </c>
      <c r="FF60" s="389">
        <v>12547.876</v>
      </c>
      <c r="FG60" s="390">
        <v>-5.735048564649947E-3</v>
      </c>
      <c r="FH60" s="390">
        <v>-5.9043574481921473E-3</v>
      </c>
      <c r="FI60" s="390">
        <v>-6.0839670283851536E-3</v>
      </c>
      <c r="FJ60" s="391">
        <v>3.0419835141925717E-2</v>
      </c>
      <c r="FK60" s="391" t="s">
        <v>1386</v>
      </c>
      <c r="FL60" s="31" t="s">
        <v>1379</v>
      </c>
      <c r="FN60" s="127" t="s">
        <v>1501</v>
      </c>
      <c r="FO60" s="127" t="s">
        <v>1502</v>
      </c>
      <c r="FP60" s="127"/>
    </row>
    <row r="61" spans="1:177" ht="22" customHeight="1" x14ac:dyDescent="0.2">
      <c r="A61" s="13" t="s">
        <v>10</v>
      </c>
      <c r="B61" s="14" t="s">
        <v>11</v>
      </c>
      <c r="C61" s="14"/>
      <c r="D61" s="14"/>
      <c r="E61" s="216" t="s">
        <v>83</v>
      </c>
      <c r="F61" s="15" t="s">
        <v>1355</v>
      </c>
      <c r="G61" s="176" t="s">
        <v>635</v>
      </c>
      <c r="H61" s="177">
        <v>0</v>
      </c>
      <c r="I61" s="178">
        <f t="shared" si="1"/>
        <v>0</v>
      </c>
      <c r="J61" s="177"/>
      <c r="K61" s="275">
        <f t="shared" si="2"/>
        <v>0</v>
      </c>
      <c r="L61" s="283">
        <v>0</v>
      </c>
      <c r="M61" s="156"/>
      <c r="N61" s="157">
        <v>0</v>
      </c>
      <c r="O61" s="160" t="str">
        <f t="shared" si="3"/>
        <v>N/A or not found_x000D__x000D_</v>
      </c>
      <c r="P61" s="144" t="str">
        <f>CONCATENATE(V61,R61,X61)</f>
        <v>_x000D_1- Build an effective institutional system to manage climate change associated crises and disasters at the national level._x000D__x000D_2- Activate genetic diversity of plant species with maximum productivity._x000D__x000D_3- Achieve biological diversity of all livestock, fishery, and poultry elements to protect them and ensure food security._x000D__x000D_4- Develop agro-economic systems and new structures to manage crops, fisheries and animal_x000D_production, which are resilient to climate changes._x000D__x000D_5- Increase the efficiency of irrigation water use, while maintaining crop productivity and_x000D_protecting land from degradation._x000D__x000D__x000D__x000D_Enteric fermentation_x000D_Manure management_x000D_Rice cultivation_x000D_Agricultural soils_x000D_Field burning of agricultural residues_x000D_</v>
      </c>
      <c r="Q61" s="360" t="s">
        <v>925</v>
      </c>
      <c r="R61" s="64" t="s">
        <v>918</v>
      </c>
      <c r="S61" s="460"/>
      <c r="T61" s="314" t="s">
        <v>1089</v>
      </c>
      <c r="U61" s="314" t="s">
        <v>1118</v>
      </c>
      <c r="V61" s="314" t="s">
        <v>915</v>
      </c>
      <c r="W61" s="258"/>
      <c r="X61" s="306" t="s">
        <v>917</v>
      </c>
      <c r="Y61" s="296"/>
      <c r="Z61" s="426" t="s">
        <v>813</v>
      </c>
      <c r="AA61" s="320">
        <f t="shared" si="64"/>
        <v>1</v>
      </c>
      <c r="AB61" s="320">
        <f t="shared" si="5"/>
        <v>0</v>
      </c>
      <c r="AC61" s="320">
        <f t="shared" si="6"/>
        <v>0</v>
      </c>
      <c r="AD61" s="320">
        <f t="shared" si="7"/>
        <v>0</v>
      </c>
      <c r="AE61" s="320">
        <f t="shared" si="8"/>
        <v>1</v>
      </c>
      <c r="AF61" s="320">
        <f t="shared" si="9"/>
        <v>1</v>
      </c>
      <c r="AG61" s="320">
        <f t="shared" si="63"/>
        <v>1</v>
      </c>
      <c r="AH61" s="427">
        <v>1</v>
      </c>
      <c r="AI61" s="320">
        <f t="shared" si="11"/>
        <v>1</v>
      </c>
      <c r="AJ61" s="320">
        <f t="shared" si="12"/>
        <v>0</v>
      </c>
      <c r="AK61" s="320">
        <f t="shared" si="13"/>
        <v>0</v>
      </c>
      <c r="AL61" s="320">
        <f t="shared" si="14"/>
        <v>0</v>
      </c>
      <c r="AM61" s="320">
        <f t="shared" si="15"/>
        <v>0</v>
      </c>
      <c r="AN61" s="320">
        <f t="shared" si="16"/>
        <v>0</v>
      </c>
      <c r="AO61" s="427">
        <v>0</v>
      </c>
      <c r="AP61" s="320">
        <f t="shared" si="17"/>
        <v>0</v>
      </c>
      <c r="AQ61" s="320">
        <f t="shared" si="18"/>
        <v>0</v>
      </c>
      <c r="AR61" s="320">
        <f t="shared" si="19"/>
        <v>0</v>
      </c>
      <c r="AS61" s="320">
        <f t="shared" si="20"/>
        <v>0</v>
      </c>
      <c r="AT61" s="320">
        <f t="shared" si="21"/>
        <v>0</v>
      </c>
      <c r="AU61" s="320">
        <f t="shared" si="22"/>
        <v>0</v>
      </c>
      <c r="AV61" s="427">
        <v>0</v>
      </c>
      <c r="AW61" s="320">
        <f t="shared" si="23"/>
        <v>0</v>
      </c>
      <c r="AX61" s="320">
        <f t="shared" si="24"/>
        <v>0</v>
      </c>
      <c r="AY61" s="320">
        <f t="shared" si="25"/>
        <v>0</v>
      </c>
      <c r="AZ61" s="320">
        <f t="shared" si="26"/>
        <v>0</v>
      </c>
      <c r="BA61" s="17">
        <v>1</v>
      </c>
      <c r="BB61" s="17" t="s">
        <v>1303</v>
      </c>
      <c r="BC61" s="17">
        <v>0</v>
      </c>
      <c r="BD61" s="17">
        <v>1</v>
      </c>
      <c r="BE61" s="17">
        <v>0</v>
      </c>
      <c r="BF61" s="17">
        <v>0</v>
      </c>
      <c r="BG61" s="428">
        <f t="shared" si="65"/>
        <v>0</v>
      </c>
      <c r="BH61" s="17">
        <v>0</v>
      </c>
      <c r="BI61" s="17">
        <v>1</v>
      </c>
      <c r="BJ61" s="17" t="s">
        <v>1130</v>
      </c>
      <c r="BK61" s="17">
        <v>1</v>
      </c>
      <c r="BL61" s="17">
        <v>1</v>
      </c>
      <c r="BM61" s="17" t="s">
        <v>1243</v>
      </c>
      <c r="BN61" s="320">
        <f t="shared" si="66"/>
        <v>1</v>
      </c>
      <c r="BO61" s="320">
        <f t="shared" si="28"/>
        <v>0</v>
      </c>
      <c r="BP61" s="427">
        <v>0</v>
      </c>
      <c r="BQ61" s="427" t="s">
        <v>1250</v>
      </c>
      <c r="BR61" s="320">
        <f t="shared" si="67"/>
        <v>0</v>
      </c>
      <c r="BS61" s="320">
        <f t="shared" si="67"/>
        <v>0</v>
      </c>
      <c r="BT61" s="427">
        <v>0</v>
      </c>
      <c r="BU61" s="320">
        <f t="shared" si="30"/>
        <v>0</v>
      </c>
      <c r="BV61" s="320">
        <f t="shared" si="31"/>
        <v>0</v>
      </c>
      <c r="BW61" s="320">
        <f t="shared" si="32"/>
        <v>0</v>
      </c>
      <c r="BX61" s="427" t="s">
        <v>76</v>
      </c>
      <c r="BY61" s="320">
        <f t="shared" si="33"/>
        <v>1</v>
      </c>
      <c r="BZ61" s="320">
        <f t="shared" si="34"/>
        <v>1</v>
      </c>
      <c r="CA61" s="320">
        <f t="shared" si="35"/>
        <v>0</v>
      </c>
      <c r="CB61" s="320">
        <f t="shared" si="36"/>
        <v>0</v>
      </c>
      <c r="CC61" s="427">
        <v>0</v>
      </c>
      <c r="CD61" s="320">
        <f t="shared" si="37"/>
        <v>0</v>
      </c>
      <c r="CE61" s="320">
        <f t="shared" si="38"/>
        <v>0</v>
      </c>
      <c r="CF61" s="320">
        <f t="shared" si="39"/>
        <v>0</v>
      </c>
      <c r="CG61" s="320">
        <f t="shared" si="40"/>
        <v>0</v>
      </c>
      <c r="CH61" s="427">
        <v>0</v>
      </c>
      <c r="CI61" s="427">
        <v>0</v>
      </c>
      <c r="CJ61" s="427">
        <v>0</v>
      </c>
      <c r="CK61" s="427">
        <v>0</v>
      </c>
      <c r="CL61" s="320">
        <f t="shared" si="53"/>
        <v>0</v>
      </c>
      <c r="CM61" s="320">
        <f t="shared" si="41"/>
        <v>0</v>
      </c>
      <c r="CN61" s="320">
        <f t="shared" si="42"/>
        <v>0</v>
      </c>
      <c r="CO61" s="320">
        <f t="shared" si="43"/>
        <v>0</v>
      </c>
      <c r="CP61" s="427">
        <v>1</v>
      </c>
      <c r="CQ61" s="427">
        <v>1</v>
      </c>
      <c r="CR61" s="320">
        <f t="shared" si="44"/>
        <v>1</v>
      </c>
      <c r="CS61" s="320">
        <f t="shared" si="45"/>
        <v>0</v>
      </c>
      <c r="CT61" s="320">
        <f t="shared" si="58"/>
        <v>0</v>
      </c>
      <c r="CU61" s="320">
        <f t="shared" si="59"/>
        <v>0</v>
      </c>
      <c r="CV61" s="427">
        <v>1</v>
      </c>
      <c r="CW61" s="17">
        <v>4</v>
      </c>
      <c r="CX61" s="320">
        <f t="shared" si="47"/>
        <v>0</v>
      </c>
      <c r="CY61" s="320">
        <f t="shared" si="48"/>
        <v>0</v>
      </c>
      <c r="CZ61" s="320">
        <f t="shared" si="49"/>
        <v>0</v>
      </c>
      <c r="DA61" s="17">
        <v>1</v>
      </c>
      <c r="DB61" s="17">
        <v>1</v>
      </c>
      <c r="DC61" s="17">
        <v>0</v>
      </c>
      <c r="DD61" s="31"/>
      <c r="DE61" s="350">
        <v>1</v>
      </c>
      <c r="DF61" s="350" t="s">
        <v>1111</v>
      </c>
      <c r="DG61" s="350" t="s">
        <v>388</v>
      </c>
      <c r="DH61" s="350" t="s">
        <v>388</v>
      </c>
      <c r="DI61" s="346" t="s">
        <v>388</v>
      </c>
      <c r="DJ61" s="350" t="s">
        <v>388</v>
      </c>
      <c r="DK61" s="350" t="s">
        <v>1112</v>
      </c>
      <c r="DL61" s="350" t="s">
        <v>1113</v>
      </c>
      <c r="DM61" s="350" t="s">
        <v>388</v>
      </c>
      <c r="DN61" s="350" t="s">
        <v>388</v>
      </c>
      <c r="DO61" s="350" t="s">
        <v>388</v>
      </c>
      <c r="DP61" s="351"/>
      <c r="DQ61" s="381"/>
      <c r="DR61" s="239">
        <f>SUM(DS61:DX61)/6</f>
        <v>0.25336151368760063</v>
      </c>
      <c r="DS61" s="429">
        <f t="shared" si="50"/>
        <v>0.21739130434782608</v>
      </c>
      <c r="DT61" s="429">
        <f>SUM(BA61:BE61,BG61)/5</f>
        <v>0.4</v>
      </c>
      <c r="DU61" s="429">
        <f>SUM(BI61,BO61,BS61,BU61:BW61)/6</f>
        <v>0.16666666666666666</v>
      </c>
      <c r="DV61" s="429">
        <f>SUM(BY61-CB61,CD61-CG61)/8</f>
        <v>0.125</v>
      </c>
      <c r="DW61" s="429">
        <f>SUM(CH61:CJ61,CL61:CO61,BN61,BR61)/9</f>
        <v>0.1111111111111111</v>
      </c>
      <c r="DX61" s="429">
        <f>SUM(CP61,CR61:CV61)/6</f>
        <v>0.5</v>
      </c>
      <c r="DY61" s="461"/>
      <c r="DZ61" s="183"/>
      <c r="EA61" s="183"/>
      <c r="EB61" s="183"/>
      <c r="EC61" s="183"/>
      <c r="ED61" s="183"/>
      <c r="EG61" s="132"/>
      <c r="EH61" s="32"/>
      <c r="EI61" s="455"/>
      <c r="EJ61" s="33" t="b">
        <f t="shared" si="51"/>
        <v>0</v>
      </c>
      <c r="EK61" s="439"/>
      <c r="EL61" s="439"/>
      <c r="EM61" s="439"/>
      <c r="EN61" s="34"/>
      <c r="EO61" s="35" t="s">
        <v>400</v>
      </c>
      <c r="EP61" s="36" t="s">
        <v>385</v>
      </c>
      <c r="EQ61" s="37" t="s">
        <v>401</v>
      </c>
      <c r="ER61" s="440">
        <v>1</v>
      </c>
      <c r="ES61" s="431">
        <v>1</v>
      </c>
      <c r="ET61" s="431">
        <v>0</v>
      </c>
      <c r="EU61" s="431">
        <v>0</v>
      </c>
      <c r="EV61" s="447">
        <v>0</v>
      </c>
      <c r="EZ61" s="393" t="s">
        <v>83</v>
      </c>
      <c r="FA61" s="393" t="s">
        <v>83</v>
      </c>
      <c r="FB61" s="389">
        <v>44</v>
      </c>
      <c r="FC61" s="389">
        <v>59</v>
      </c>
      <c r="FD61" s="389">
        <v>67</v>
      </c>
      <c r="FE61" s="389">
        <v>70</v>
      </c>
      <c r="FF61" s="389">
        <v>73</v>
      </c>
      <c r="FG61" s="390">
        <v>2.7118644067796609E-2</v>
      </c>
      <c r="FH61" s="390">
        <v>8.9552238805970137E-3</v>
      </c>
      <c r="FI61" s="390">
        <v>8.5714285714285719E-3</v>
      </c>
      <c r="FJ61" s="391" t="s">
        <v>1389</v>
      </c>
      <c r="FK61" s="391">
        <v>-4.2857142857142677E-2</v>
      </c>
      <c r="FL61" s="31" t="s">
        <v>1394</v>
      </c>
      <c r="FN61" s="216" t="s">
        <v>1503</v>
      </c>
      <c r="FO61" s="216" t="s">
        <v>1504</v>
      </c>
      <c r="FP61" s="215" t="s">
        <v>1346</v>
      </c>
      <c r="FR61" s="402">
        <v>1</v>
      </c>
      <c r="FS61" s="402">
        <v>1</v>
      </c>
      <c r="FT61" s="402">
        <v>1</v>
      </c>
      <c r="FU61" s="402">
        <v>1</v>
      </c>
    </row>
    <row r="62" spans="1:177" ht="22" hidden="1" customHeight="1" x14ac:dyDescent="0.2">
      <c r="A62" s="13" t="s">
        <v>16</v>
      </c>
      <c r="B62" s="19" t="s">
        <v>37</v>
      </c>
      <c r="C62" s="9" t="s">
        <v>1031</v>
      </c>
      <c r="D62" s="19"/>
      <c r="E62" s="128" t="s">
        <v>84</v>
      </c>
      <c r="F62" s="15" t="s">
        <v>637</v>
      </c>
      <c r="G62" s="15" t="s">
        <v>635</v>
      </c>
      <c r="H62" s="91">
        <f t="shared" ref="H62:H72" si="68">IF(G62="YES",0,1)</f>
        <v>0</v>
      </c>
      <c r="I62" s="95">
        <f t="shared" si="1"/>
        <v>2</v>
      </c>
      <c r="J62" s="91"/>
      <c r="K62" s="256">
        <f t="shared" si="2"/>
        <v>2</v>
      </c>
      <c r="L62" s="101" t="s">
        <v>640</v>
      </c>
      <c r="M62" s="99"/>
      <c r="N62" s="26">
        <v>1000000</v>
      </c>
      <c r="O62" s="98" t="str">
        <f t="shared" si="3"/>
        <v>_x000D__x000D_</v>
      </c>
      <c r="P62" s="144" t="str">
        <f>CONCATENATE(V62,R62,X62)</f>
        <v>_x000D__x000D_Promoción de la arquitectura bioclimática y vernácula apropiada para los diferentes tipos de infraestructura (suministro de servicios básicos como agua, vivienda, redes viales, electrificación, etc.). En el periodo 2018-2025, El Salvador ejecutará inversiones en lagunas de laminación para el control de inundaciones del Área Metropolitana de San Salvador, con restauración ambiental y social de espacios. Para el cumplimiento de la meta se establecerán los necesarios medios de implementación que estuvieran fuera del alcance de las finanzas nacionales</v>
      </c>
      <c r="Q62" s="55"/>
      <c r="R62" s="64" t="s">
        <v>918</v>
      </c>
      <c r="S62" s="425"/>
      <c r="T62" s="300" t="s">
        <v>925</v>
      </c>
      <c r="U62" s="300" t="s">
        <v>951</v>
      </c>
      <c r="V62" s="300"/>
      <c r="W62" s="258"/>
      <c r="X62" s="307" t="s">
        <v>453</v>
      </c>
      <c r="Y62" s="274"/>
      <c r="Z62" s="426" t="s">
        <v>223</v>
      </c>
      <c r="AA62" s="320">
        <f t="shared" si="64"/>
        <v>1</v>
      </c>
      <c r="AB62" s="320">
        <f t="shared" si="5"/>
        <v>1</v>
      </c>
      <c r="AC62" s="320">
        <f t="shared" si="6"/>
        <v>1</v>
      </c>
      <c r="AD62" s="320">
        <f t="shared" si="7"/>
        <v>1</v>
      </c>
      <c r="AE62" s="320">
        <f t="shared" si="8"/>
        <v>1</v>
      </c>
      <c r="AF62" s="320">
        <f t="shared" si="9"/>
        <v>1</v>
      </c>
      <c r="AG62" s="320">
        <f t="shared" si="63"/>
        <v>1</v>
      </c>
      <c r="AH62" s="427">
        <v>1</v>
      </c>
      <c r="AI62" s="320">
        <f t="shared" si="11"/>
        <v>1</v>
      </c>
      <c r="AJ62" s="320">
        <f t="shared" si="12"/>
        <v>0</v>
      </c>
      <c r="AK62" s="320">
        <f t="shared" si="13"/>
        <v>0</v>
      </c>
      <c r="AL62" s="320">
        <f t="shared" si="14"/>
        <v>0</v>
      </c>
      <c r="AM62" s="320">
        <f t="shared" si="15"/>
        <v>0</v>
      </c>
      <c r="AN62" s="320">
        <f t="shared" si="16"/>
        <v>0</v>
      </c>
      <c r="AO62" s="427" t="s">
        <v>233</v>
      </c>
      <c r="AP62" s="320">
        <f t="shared" si="17"/>
        <v>1</v>
      </c>
      <c r="AQ62" s="320">
        <f t="shared" si="18"/>
        <v>1</v>
      </c>
      <c r="AR62" s="320">
        <f t="shared" si="19"/>
        <v>1</v>
      </c>
      <c r="AS62" s="320">
        <f t="shared" si="20"/>
        <v>1</v>
      </c>
      <c r="AT62" s="320">
        <f t="shared" si="21"/>
        <v>1</v>
      </c>
      <c r="AU62" s="320">
        <f t="shared" si="22"/>
        <v>1</v>
      </c>
      <c r="AV62" s="427" t="s">
        <v>221</v>
      </c>
      <c r="AW62" s="320">
        <f t="shared" si="23"/>
        <v>1</v>
      </c>
      <c r="AX62" s="320">
        <f t="shared" si="24"/>
        <v>0</v>
      </c>
      <c r="AY62" s="320">
        <f t="shared" si="25"/>
        <v>0</v>
      </c>
      <c r="AZ62" s="320">
        <f t="shared" si="26"/>
        <v>0</v>
      </c>
      <c r="BA62" s="17">
        <v>0</v>
      </c>
      <c r="BB62" s="17" t="s">
        <v>834</v>
      </c>
      <c r="BC62" s="17">
        <v>0</v>
      </c>
      <c r="BD62" s="17">
        <v>1</v>
      </c>
      <c r="BE62" s="17">
        <v>0</v>
      </c>
      <c r="BF62" s="17">
        <v>0</v>
      </c>
      <c r="BG62" s="428">
        <f t="shared" si="65"/>
        <v>0</v>
      </c>
      <c r="BH62" s="17"/>
      <c r="BI62" s="17">
        <v>1</v>
      </c>
      <c r="BJ62" s="17" t="s">
        <v>1134</v>
      </c>
      <c r="BK62" s="17"/>
      <c r="BL62" s="17">
        <v>1</v>
      </c>
      <c r="BM62" s="17" t="s">
        <v>1145</v>
      </c>
      <c r="BN62" s="320">
        <f t="shared" si="66"/>
        <v>1</v>
      </c>
      <c r="BO62" s="320">
        <f t="shared" si="28"/>
        <v>0</v>
      </c>
      <c r="BP62" s="427">
        <v>1</v>
      </c>
      <c r="BQ62" s="427" t="s">
        <v>1154</v>
      </c>
      <c r="BR62" s="320">
        <f t="shared" si="67"/>
        <v>1</v>
      </c>
      <c r="BS62" s="320">
        <f t="shared" si="67"/>
        <v>1</v>
      </c>
      <c r="BT62" s="427">
        <v>1</v>
      </c>
      <c r="BU62" s="320">
        <f t="shared" si="30"/>
        <v>1</v>
      </c>
      <c r="BV62" s="320">
        <f t="shared" si="31"/>
        <v>0</v>
      </c>
      <c r="BW62" s="320">
        <f t="shared" si="32"/>
        <v>0</v>
      </c>
      <c r="BX62" s="427" t="s">
        <v>245</v>
      </c>
      <c r="BY62" s="320">
        <f t="shared" si="33"/>
        <v>1</v>
      </c>
      <c r="BZ62" s="320">
        <f t="shared" si="34"/>
        <v>0</v>
      </c>
      <c r="CA62" s="320">
        <f t="shared" si="35"/>
        <v>1</v>
      </c>
      <c r="CB62" s="320">
        <f t="shared" si="36"/>
        <v>0</v>
      </c>
      <c r="CC62" s="427" t="s">
        <v>261</v>
      </c>
      <c r="CD62" s="320">
        <f t="shared" si="37"/>
        <v>1</v>
      </c>
      <c r="CE62" s="320">
        <f t="shared" si="38"/>
        <v>1</v>
      </c>
      <c r="CF62" s="320">
        <f t="shared" si="39"/>
        <v>0</v>
      </c>
      <c r="CG62" s="320">
        <f t="shared" si="40"/>
        <v>1</v>
      </c>
      <c r="CH62" s="427">
        <v>1</v>
      </c>
      <c r="CI62" s="427">
        <v>0</v>
      </c>
      <c r="CJ62" s="427">
        <v>0</v>
      </c>
      <c r="CK62" s="427">
        <v>0</v>
      </c>
      <c r="CL62" s="320">
        <f t="shared" si="53"/>
        <v>0</v>
      </c>
      <c r="CM62" s="320">
        <f t="shared" si="41"/>
        <v>0</v>
      </c>
      <c r="CN62" s="320">
        <f t="shared" si="42"/>
        <v>0</v>
      </c>
      <c r="CO62" s="320">
        <f t="shared" si="43"/>
        <v>0</v>
      </c>
      <c r="CP62" s="427">
        <v>1</v>
      </c>
      <c r="CQ62" s="427">
        <v>1.2</v>
      </c>
      <c r="CR62" s="320">
        <f t="shared" si="44"/>
        <v>1</v>
      </c>
      <c r="CS62" s="320">
        <f t="shared" si="45"/>
        <v>0</v>
      </c>
      <c r="CT62" s="320">
        <f t="shared" si="58"/>
        <v>1</v>
      </c>
      <c r="CU62" s="320">
        <f t="shared" si="59"/>
        <v>0</v>
      </c>
      <c r="CV62" s="427">
        <v>0</v>
      </c>
      <c r="CW62" s="17" t="s">
        <v>246</v>
      </c>
      <c r="CX62" s="320">
        <f t="shared" si="47"/>
        <v>1</v>
      </c>
      <c r="CY62" s="320">
        <f t="shared" si="48"/>
        <v>1</v>
      </c>
      <c r="CZ62" s="320">
        <f t="shared" si="49"/>
        <v>0</v>
      </c>
      <c r="DA62" s="17">
        <v>1</v>
      </c>
      <c r="DB62" s="17">
        <v>1</v>
      </c>
      <c r="DC62" s="17">
        <v>1</v>
      </c>
      <c r="DD62" s="31"/>
      <c r="DE62" s="335" t="s">
        <v>392</v>
      </c>
      <c r="DF62" s="321" t="s">
        <v>452</v>
      </c>
      <c r="DG62" s="321" t="s">
        <v>392</v>
      </c>
      <c r="DH62" s="321" t="s">
        <v>392</v>
      </c>
      <c r="DI62" s="321"/>
      <c r="DJ62" s="321" t="s">
        <v>388</v>
      </c>
      <c r="DK62" s="321"/>
      <c r="DL62" s="321" t="s">
        <v>453</v>
      </c>
      <c r="DM62" s="321"/>
      <c r="DN62" s="321"/>
      <c r="DO62" s="321"/>
      <c r="DP62" s="322"/>
      <c r="DQ62" s="289"/>
      <c r="DR62" s="240">
        <f>SUM(DS62:DX62)/6</f>
        <v>0.38508454106280193</v>
      </c>
      <c r="DS62" s="429">
        <f t="shared" si="50"/>
        <v>0.65217391304347827</v>
      </c>
      <c r="DT62" s="429">
        <f>SUM(BA62:BE62,BG62)/5</f>
        <v>0.2</v>
      </c>
      <c r="DU62" s="429">
        <f>SUM(BI62,BO62,BS62,BU62:BW62)/6</f>
        <v>0.5</v>
      </c>
      <c r="DV62" s="429">
        <f>SUM(BY62-CB62,CD62-CG62)/8</f>
        <v>0.125</v>
      </c>
      <c r="DW62" s="429">
        <f>SUM(CH62:CJ62,CL62:CO62,BN62,BR62)/9</f>
        <v>0.33333333333333331</v>
      </c>
      <c r="DX62" s="429">
        <f>SUM(CP62,CR62:CV62)/6</f>
        <v>0.5</v>
      </c>
      <c r="DY62" s="444"/>
      <c r="DZ62" s="140" t="s">
        <v>698</v>
      </c>
      <c r="EA62" s="140" t="s">
        <v>699</v>
      </c>
      <c r="EB62" s="139" t="s">
        <v>793</v>
      </c>
      <c r="EC62" s="139" t="s">
        <v>777</v>
      </c>
      <c r="ED62" s="123">
        <v>1</v>
      </c>
      <c r="EG62" s="132"/>
      <c r="EH62" s="32">
        <v>0</v>
      </c>
      <c r="EI62" s="455"/>
      <c r="EJ62" s="33" t="e">
        <f t="shared" si="51"/>
        <v>#VALUE!</v>
      </c>
      <c r="EK62" s="439"/>
      <c r="EL62" s="439"/>
      <c r="EM62" s="439"/>
      <c r="EN62" s="36" t="s">
        <v>384</v>
      </c>
      <c r="EO62" s="36"/>
      <c r="EP62" s="36" t="s">
        <v>385</v>
      </c>
      <c r="EQ62" s="37" t="s">
        <v>386</v>
      </c>
      <c r="ER62" s="58">
        <v>0</v>
      </c>
      <c r="ES62" s="96"/>
      <c r="ET62" s="442">
        <v>0</v>
      </c>
      <c r="EU62" s="97">
        <v>0</v>
      </c>
      <c r="EV62" s="149"/>
      <c r="EZ62" s="393" t="s">
        <v>84</v>
      </c>
      <c r="FA62" s="393" t="s">
        <v>84</v>
      </c>
      <c r="FB62" s="389">
        <v>377</v>
      </c>
      <c r="FC62" s="389">
        <v>332</v>
      </c>
      <c r="FD62" s="389">
        <v>309</v>
      </c>
      <c r="FE62" s="389">
        <v>287</v>
      </c>
      <c r="FF62" s="389">
        <v>265</v>
      </c>
      <c r="FG62" s="390">
        <v>-1.3855421686746989E-2</v>
      </c>
      <c r="FH62" s="390">
        <v>-1.423948220064725E-2</v>
      </c>
      <c r="FI62" s="390">
        <v>-1.5331010452961671E-2</v>
      </c>
      <c r="FJ62" s="391">
        <v>7.6655052264808177E-2</v>
      </c>
      <c r="FK62" s="391" t="s">
        <v>1386</v>
      </c>
      <c r="FL62" s="31" t="s">
        <v>1379</v>
      </c>
      <c r="FN62" s="128" t="s">
        <v>1505</v>
      </c>
      <c r="FO62" s="128" t="s">
        <v>1506</v>
      </c>
      <c r="FP62" s="128"/>
    </row>
    <row r="63" spans="1:177" ht="22" hidden="1" customHeight="1" x14ac:dyDescent="0.2">
      <c r="A63" s="13" t="s">
        <v>10</v>
      </c>
      <c r="B63" s="14" t="s">
        <v>14</v>
      </c>
      <c r="C63" s="14"/>
      <c r="D63" s="14"/>
      <c r="E63" s="128" t="s">
        <v>85</v>
      </c>
      <c r="F63" s="15"/>
      <c r="G63" s="15" t="s">
        <v>634</v>
      </c>
      <c r="H63" s="91">
        <f t="shared" si="68"/>
        <v>1</v>
      </c>
      <c r="I63" s="95">
        <f t="shared" si="1"/>
        <v>0</v>
      </c>
      <c r="J63" s="91"/>
      <c r="K63" s="256">
        <f t="shared" si="2"/>
        <v>1</v>
      </c>
      <c r="L63" s="101">
        <v>0</v>
      </c>
      <c r="M63" s="99"/>
      <c r="N63" s="89"/>
      <c r="O63" s="144" t="str">
        <f t="shared" si="3"/>
        <v>_x000D__x000D_</v>
      </c>
      <c r="P63" s="144"/>
      <c r="Q63" s="55"/>
      <c r="R63" s="64" t="s">
        <v>918</v>
      </c>
      <c r="S63" s="425"/>
      <c r="T63" s="300" t="s">
        <v>834</v>
      </c>
      <c r="U63" s="300" t="s">
        <v>834</v>
      </c>
      <c r="V63" s="300" t="s">
        <v>834</v>
      </c>
      <c r="W63" s="258"/>
      <c r="X63" s="307" t="s">
        <v>834</v>
      </c>
      <c r="Y63" s="274"/>
      <c r="Z63" s="426"/>
      <c r="AA63" s="320">
        <f t="shared" si="64"/>
        <v>0</v>
      </c>
      <c r="AB63" s="320">
        <f t="shared" si="5"/>
        <v>0</v>
      </c>
      <c r="AC63" s="320">
        <f t="shared" si="6"/>
        <v>0</v>
      </c>
      <c r="AD63" s="320">
        <f t="shared" si="7"/>
        <v>0</v>
      </c>
      <c r="AE63" s="320">
        <f t="shared" si="8"/>
        <v>0</v>
      </c>
      <c r="AF63" s="320">
        <f t="shared" si="9"/>
        <v>0</v>
      </c>
      <c r="AG63" s="320">
        <f t="shared" si="63"/>
        <v>0</v>
      </c>
      <c r="AH63" s="427"/>
      <c r="AI63" s="320">
        <f t="shared" si="11"/>
        <v>0</v>
      </c>
      <c r="AJ63" s="320">
        <f t="shared" si="12"/>
        <v>0</v>
      </c>
      <c r="AK63" s="320">
        <f t="shared" si="13"/>
        <v>0</v>
      </c>
      <c r="AL63" s="320">
        <f t="shared" si="14"/>
        <v>0</v>
      </c>
      <c r="AM63" s="320">
        <f t="shared" si="15"/>
        <v>0</v>
      </c>
      <c r="AN63" s="320">
        <f t="shared" si="16"/>
        <v>0</v>
      </c>
      <c r="AO63" s="427"/>
      <c r="AP63" s="320">
        <f t="shared" si="17"/>
        <v>0</v>
      </c>
      <c r="AQ63" s="320">
        <f t="shared" si="18"/>
        <v>0</v>
      </c>
      <c r="AR63" s="320">
        <f t="shared" si="19"/>
        <v>0</v>
      </c>
      <c r="AS63" s="320">
        <f t="shared" si="20"/>
        <v>0</v>
      </c>
      <c r="AT63" s="320">
        <f t="shared" si="21"/>
        <v>0</v>
      </c>
      <c r="AU63" s="320">
        <f t="shared" si="22"/>
        <v>0</v>
      </c>
      <c r="AV63" s="427"/>
      <c r="AW63" s="320">
        <f t="shared" si="23"/>
        <v>0</v>
      </c>
      <c r="AX63" s="320">
        <f t="shared" si="24"/>
        <v>0</v>
      </c>
      <c r="AY63" s="320">
        <f t="shared" si="25"/>
        <v>0</v>
      </c>
      <c r="AZ63" s="320">
        <f t="shared" si="26"/>
        <v>0</v>
      </c>
      <c r="BA63" s="17"/>
      <c r="BB63" s="17" t="s">
        <v>834</v>
      </c>
      <c r="BC63" s="17"/>
      <c r="BD63" s="17"/>
      <c r="BE63" s="17"/>
      <c r="BF63" s="17"/>
      <c r="BG63" s="428">
        <f t="shared" si="65"/>
        <v>0</v>
      </c>
      <c r="BH63" s="17"/>
      <c r="BI63" s="17"/>
      <c r="BJ63" s="17"/>
      <c r="BK63" s="17"/>
      <c r="BL63" s="17"/>
      <c r="BM63" s="17"/>
      <c r="BN63" s="320">
        <f t="shared" si="66"/>
        <v>0</v>
      </c>
      <c r="BO63" s="320">
        <f t="shared" si="28"/>
        <v>0</v>
      </c>
      <c r="BP63" s="427"/>
      <c r="BQ63" s="427"/>
      <c r="BR63" s="320">
        <f t="shared" si="67"/>
        <v>0</v>
      </c>
      <c r="BS63" s="320">
        <f t="shared" si="67"/>
        <v>0</v>
      </c>
      <c r="BT63" s="427"/>
      <c r="BU63" s="320">
        <f t="shared" si="30"/>
        <v>0</v>
      </c>
      <c r="BV63" s="320">
        <f t="shared" si="31"/>
        <v>0</v>
      </c>
      <c r="BW63" s="320">
        <f t="shared" si="32"/>
        <v>0</v>
      </c>
      <c r="BX63" s="427"/>
      <c r="BY63" s="320">
        <f t="shared" si="33"/>
        <v>0</v>
      </c>
      <c r="BZ63" s="320">
        <f t="shared" si="34"/>
        <v>0</v>
      </c>
      <c r="CA63" s="320">
        <f t="shared" si="35"/>
        <v>0</v>
      </c>
      <c r="CB63" s="320">
        <f t="shared" si="36"/>
        <v>0</v>
      </c>
      <c r="CC63" s="427"/>
      <c r="CD63" s="320">
        <f t="shared" si="37"/>
        <v>0</v>
      </c>
      <c r="CE63" s="320">
        <f t="shared" si="38"/>
        <v>0</v>
      </c>
      <c r="CF63" s="320">
        <f t="shared" si="39"/>
        <v>0</v>
      </c>
      <c r="CG63" s="320">
        <f t="shared" si="40"/>
        <v>0</v>
      </c>
      <c r="CH63" s="427"/>
      <c r="CI63" s="427"/>
      <c r="CJ63" s="427"/>
      <c r="CK63" s="427"/>
      <c r="CL63" s="320">
        <f t="shared" si="53"/>
        <v>0</v>
      </c>
      <c r="CM63" s="320">
        <f t="shared" si="41"/>
        <v>0</v>
      </c>
      <c r="CN63" s="320">
        <f t="shared" si="42"/>
        <v>0</v>
      </c>
      <c r="CO63" s="320">
        <f t="shared" si="43"/>
        <v>0</v>
      </c>
      <c r="CP63" s="427"/>
      <c r="CQ63" s="427"/>
      <c r="CR63" s="320">
        <f t="shared" si="44"/>
        <v>0</v>
      </c>
      <c r="CS63" s="320">
        <f t="shared" si="45"/>
        <v>0</v>
      </c>
      <c r="CT63" s="320">
        <f t="shared" si="58"/>
        <v>0</v>
      </c>
      <c r="CU63" s="320">
        <f t="shared" si="59"/>
        <v>0</v>
      </c>
      <c r="CV63" s="427"/>
      <c r="CW63" s="17"/>
      <c r="CX63" s="320">
        <f t="shared" si="47"/>
        <v>0</v>
      </c>
      <c r="CY63" s="320">
        <f t="shared" si="48"/>
        <v>0</v>
      </c>
      <c r="CZ63" s="320">
        <f t="shared" si="49"/>
        <v>0</v>
      </c>
      <c r="DA63" s="17"/>
      <c r="DB63" s="17"/>
      <c r="DC63" s="17"/>
      <c r="DD63" s="31"/>
      <c r="DE63" s="323"/>
      <c r="DF63" s="323"/>
      <c r="DG63" s="323"/>
      <c r="DH63" s="323"/>
      <c r="DI63" s="323"/>
      <c r="DJ63" s="323"/>
      <c r="DK63" s="323"/>
      <c r="DL63" s="323"/>
      <c r="DM63" s="323"/>
      <c r="DN63" s="323"/>
      <c r="DO63" s="323"/>
      <c r="DP63" s="324"/>
      <c r="DQ63" s="288"/>
      <c r="DR63" s="242"/>
      <c r="DS63" s="429">
        <f t="shared" si="50"/>
        <v>0</v>
      </c>
      <c r="DT63" s="429"/>
      <c r="DU63" s="429"/>
      <c r="DV63" s="429"/>
      <c r="DW63" s="429"/>
      <c r="DX63" s="429"/>
      <c r="DY63" s="429"/>
      <c r="DZ63" s="134"/>
      <c r="EA63" s="134"/>
      <c r="EB63" s="134"/>
      <c r="EC63" s="134"/>
      <c r="ED63" s="123"/>
      <c r="EG63" s="132"/>
      <c r="EH63" s="32"/>
      <c r="EI63" s="455"/>
      <c r="EJ63" s="33" t="b">
        <f t="shared" si="51"/>
        <v>0</v>
      </c>
      <c r="EK63" s="70"/>
      <c r="EL63" s="70"/>
      <c r="EM63" s="70"/>
      <c r="EN63" s="454"/>
      <c r="EO63" s="454"/>
      <c r="EP63" s="454"/>
      <c r="EQ63" s="37" t="s">
        <v>386</v>
      </c>
      <c r="ER63" s="440">
        <v>0</v>
      </c>
      <c r="ES63" s="431"/>
      <c r="ET63" s="431">
        <v>0</v>
      </c>
      <c r="EU63" s="431"/>
      <c r="EV63" s="447"/>
      <c r="EZ63" s="393" t="s">
        <v>85</v>
      </c>
      <c r="FA63" s="393" t="s">
        <v>85</v>
      </c>
      <c r="FB63" s="389">
        <v>1860</v>
      </c>
      <c r="FC63" s="389">
        <v>1743</v>
      </c>
      <c r="FD63" s="389">
        <v>1685</v>
      </c>
      <c r="FE63" s="389">
        <v>1626</v>
      </c>
      <c r="FF63" s="389">
        <v>1568</v>
      </c>
      <c r="FG63" s="390">
        <v>-6.6551921973608723E-3</v>
      </c>
      <c r="FH63" s="390">
        <v>-7.0029673590504453E-3</v>
      </c>
      <c r="FI63" s="390">
        <v>-7.1340713407134076E-3</v>
      </c>
      <c r="FJ63" s="391">
        <v>1.8721204161194195E-2</v>
      </c>
      <c r="FK63" s="391" t="s">
        <v>1386</v>
      </c>
      <c r="FL63" s="31" t="s">
        <v>1379</v>
      </c>
      <c r="FN63" s="128" t="s">
        <v>1507</v>
      </c>
      <c r="FO63" s="128" t="s">
        <v>1508</v>
      </c>
      <c r="FP63" s="128"/>
    </row>
    <row r="64" spans="1:177" ht="22" hidden="1" customHeight="1" x14ac:dyDescent="0.2">
      <c r="A64" s="13" t="s">
        <v>10</v>
      </c>
      <c r="B64" s="14" t="s">
        <v>51</v>
      </c>
      <c r="C64" s="14"/>
      <c r="D64" s="14"/>
      <c r="E64" s="128" t="s">
        <v>86</v>
      </c>
      <c r="F64" s="15"/>
      <c r="G64" s="15" t="s">
        <v>635</v>
      </c>
      <c r="H64" s="91">
        <f t="shared" si="68"/>
        <v>0</v>
      </c>
      <c r="I64" s="95">
        <f t="shared" si="1"/>
        <v>0</v>
      </c>
      <c r="J64" s="91"/>
      <c r="K64" s="256">
        <f t="shared" si="2"/>
        <v>0</v>
      </c>
      <c r="L64" s="101">
        <v>0</v>
      </c>
      <c r="M64" s="99"/>
      <c r="N64" s="89"/>
      <c r="O64" s="98" t="str">
        <f t="shared" si="3"/>
        <v>_x000D__x000D_</v>
      </c>
      <c r="P64" s="144"/>
      <c r="Q64" s="55"/>
      <c r="R64" s="64" t="s">
        <v>918</v>
      </c>
      <c r="S64" s="425"/>
      <c r="T64" s="300" t="s">
        <v>856</v>
      </c>
      <c r="U64" s="300" t="s">
        <v>834</v>
      </c>
      <c r="V64" s="300" t="s">
        <v>834</v>
      </c>
      <c r="W64" s="258"/>
      <c r="X64" s="307" t="s">
        <v>834</v>
      </c>
      <c r="Y64" s="274"/>
      <c r="Z64" s="426"/>
      <c r="AA64" s="320">
        <f t="shared" si="64"/>
        <v>0</v>
      </c>
      <c r="AB64" s="320">
        <f t="shared" si="5"/>
        <v>0</v>
      </c>
      <c r="AC64" s="320">
        <f t="shared" si="6"/>
        <v>0</v>
      </c>
      <c r="AD64" s="320">
        <f t="shared" si="7"/>
        <v>0</v>
      </c>
      <c r="AE64" s="320">
        <f t="shared" si="8"/>
        <v>0</v>
      </c>
      <c r="AF64" s="320">
        <f t="shared" si="9"/>
        <v>0</v>
      </c>
      <c r="AG64" s="320">
        <f t="shared" si="63"/>
        <v>0</v>
      </c>
      <c r="AH64" s="427"/>
      <c r="AI64" s="320">
        <f t="shared" si="11"/>
        <v>0</v>
      </c>
      <c r="AJ64" s="320">
        <f t="shared" si="12"/>
        <v>0</v>
      </c>
      <c r="AK64" s="320">
        <f t="shared" si="13"/>
        <v>0</v>
      </c>
      <c r="AL64" s="320">
        <f t="shared" si="14"/>
        <v>0</v>
      </c>
      <c r="AM64" s="320">
        <f t="shared" si="15"/>
        <v>0</v>
      </c>
      <c r="AN64" s="320">
        <f t="shared" si="16"/>
        <v>0</v>
      </c>
      <c r="AO64" s="427"/>
      <c r="AP64" s="320">
        <f t="shared" si="17"/>
        <v>0</v>
      </c>
      <c r="AQ64" s="320">
        <f t="shared" si="18"/>
        <v>0</v>
      </c>
      <c r="AR64" s="320">
        <f t="shared" si="19"/>
        <v>0</v>
      </c>
      <c r="AS64" s="320">
        <f t="shared" si="20"/>
        <v>0</v>
      </c>
      <c r="AT64" s="320">
        <f t="shared" si="21"/>
        <v>0</v>
      </c>
      <c r="AU64" s="320">
        <f t="shared" si="22"/>
        <v>0</v>
      </c>
      <c r="AV64" s="427"/>
      <c r="AW64" s="320">
        <f t="shared" si="23"/>
        <v>0</v>
      </c>
      <c r="AX64" s="320">
        <f t="shared" si="24"/>
        <v>0</v>
      </c>
      <c r="AY64" s="320">
        <f t="shared" si="25"/>
        <v>0</v>
      </c>
      <c r="AZ64" s="320">
        <f t="shared" si="26"/>
        <v>0</v>
      </c>
      <c r="BA64" s="17">
        <v>1</v>
      </c>
      <c r="BB64" s="17" t="s">
        <v>856</v>
      </c>
      <c r="BC64" s="17"/>
      <c r="BD64" s="17"/>
      <c r="BE64" s="17"/>
      <c r="BF64" s="17"/>
      <c r="BG64" s="428">
        <f t="shared" si="65"/>
        <v>0</v>
      </c>
      <c r="BH64" s="17"/>
      <c r="BI64" s="17"/>
      <c r="BJ64" s="17"/>
      <c r="BK64" s="17"/>
      <c r="BL64" s="17"/>
      <c r="BM64" s="17"/>
      <c r="BN64" s="320">
        <f t="shared" si="66"/>
        <v>0</v>
      </c>
      <c r="BO64" s="320">
        <f t="shared" si="28"/>
        <v>0</v>
      </c>
      <c r="BP64" s="427"/>
      <c r="BQ64" s="427"/>
      <c r="BR64" s="320">
        <f t="shared" si="67"/>
        <v>0</v>
      </c>
      <c r="BS64" s="320">
        <f t="shared" si="67"/>
        <v>0</v>
      </c>
      <c r="BT64" s="427"/>
      <c r="BU64" s="320">
        <f t="shared" si="30"/>
        <v>0</v>
      </c>
      <c r="BV64" s="320">
        <f t="shared" si="31"/>
        <v>0</v>
      </c>
      <c r="BW64" s="320">
        <f t="shared" si="32"/>
        <v>0</v>
      </c>
      <c r="BX64" s="427"/>
      <c r="BY64" s="320">
        <f t="shared" si="33"/>
        <v>0</v>
      </c>
      <c r="BZ64" s="320">
        <f t="shared" si="34"/>
        <v>0</v>
      </c>
      <c r="CA64" s="320">
        <f t="shared" si="35"/>
        <v>0</v>
      </c>
      <c r="CB64" s="320">
        <f t="shared" si="36"/>
        <v>0</v>
      </c>
      <c r="CC64" s="427"/>
      <c r="CD64" s="320">
        <f t="shared" si="37"/>
        <v>0</v>
      </c>
      <c r="CE64" s="320">
        <f t="shared" si="38"/>
        <v>0</v>
      </c>
      <c r="CF64" s="320">
        <f t="shared" si="39"/>
        <v>0</v>
      </c>
      <c r="CG64" s="320">
        <f t="shared" si="40"/>
        <v>0</v>
      </c>
      <c r="CH64" s="427"/>
      <c r="CI64" s="427"/>
      <c r="CJ64" s="427"/>
      <c r="CK64" s="427"/>
      <c r="CL64" s="320">
        <f t="shared" si="53"/>
        <v>0</v>
      </c>
      <c r="CM64" s="320">
        <f t="shared" si="41"/>
        <v>0</v>
      </c>
      <c r="CN64" s="320">
        <f t="shared" si="42"/>
        <v>0</v>
      </c>
      <c r="CO64" s="320">
        <f t="shared" si="43"/>
        <v>0</v>
      </c>
      <c r="CP64" s="427"/>
      <c r="CQ64" s="427"/>
      <c r="CR64" s="320">
        <f t="shared" si="44"/>
        <v>0</v>
      </c>
      <c r="CS64" s="320">
        <f t="shared" si="45"/>
        <v>0</v>
      </c>
      <c r="CT64" s="320">
        <f t="shared" si="58"/>
        <v>0</v>
      </c>
      <c r="CU64" s="320">
        <f t="shared" si="59"/>
        <v>0</v>
      </c>
      <c r="CV64" s="427"/>
      <c r="CW64" s="17"/>
      <c r="CX64" s="320">
        <f t="shared" si="47"/>
        <v>0</v>
      </c>
      <c r="CY64" s="320">
        <f t="shared" si="48"/>
        <v>0</v>
      </c>
      <c r="CZ64" s="320">
        <f t="shared" si="49"/>
        <v>0</v>
      </c>
      <c r="DA64" s="17"/>
      <c r="DB64" s="17"/>
      <c r="DC64" s="17"/>
      <c r="DD64" s="31"/>
      <c r="DE64" s="321"/>
      <c r="DF64" s="321"/>
      <c r="DG64" s="321"/>
      <c r="DH64" s="321"/>
      <c r="DI64" s="321"/>
      <c r="DJ64" s="321"/>
      <c r="DK64" s="321"/>
      <c r="DL64" s="321"/>
      <c r="DM64" s="321"/>
      <c r="DN64" s="321"/>
      <c r="DO64" s="321"/>
      <c r="DP64" s="322"/>
      <c r="DQ64" s="288"/>
      <c r="DR64" s="241"/>
      <c r="DS64" s="429">
        <f t="shared" si="50"/>
        <v>0</v>
      </c>
      <c r="DT64" s="429"/>
      <c r="DU64" s="429"/>
      <c r="DV64" s="429"/>
      <c r="DW64" s="429"/>
      <c r="DX64" s="429"/>
      <c r="DY64" s="429"/>
      <c r="DZ64" s="134"/>
      <c r="EA64" s="134"/>
      <c r="EB64" s="134"/>
      <c r="EC64" s="134"/>
      <c r="ED64" s="123"/>
      <c r="EG64" s="132"/>
      <c r="EH64" s="32"/>
      <c r="EI64" s="455"/>
      <c r="EJ64" s="33" t="b">
        <f t="shared" si="51"/>
        <v>0</v>
      </c>
      <c r="EK64" s="42" t="s">
        <v>431</v>
      </c>
      <c r="EL64" s="42"/>
      <c r="EM64" s="42"/>
      <c r="EN64" s="36" t="s">
        <v>432</v>
      </c>
      <c r="EO64" s="36"/>
      <c r="EP64" s="36" t="s">
        <v>433</v>
      </c>
      <c r="EQ64" s="37" t="s">
        <v>434</v>
      </c>
      <c r="ER64" s="440">
        <v>0</v>
      </c>
      <c r="ES64" s="431">
        <v>0</v>
      </c>
      <c r="ET64" s="431">
        <v>0</v>
      </c>
      <c r="EU64" s="431">
        <v>0</v>
      </c>
      <c r="EV64" s="447" t="s">
        <v>386</v>
      </c>
      <c r="EZ64" s="393" t="s">
        <v>86</v>
      </c>
      <c r="FA64" s="393" t="s">
        <v>86</v>
      </c>
      <c r="FB64" s="389">
        <v>1621</v>
      </c>
      <c r="FC64" s="389">
        <v>1576</v>
      </c>
      <c r="FD64" s="389">
        <v>1554</v>
      </c>
      <c r="FE64" s="389">
        <v>1532</v>
      </c>
      <c r="FF64" s="389">
        <v>1510</v>
      </c>
      <c r="FG64" s="390">
        <v>-2.7918781725888324E-3</v>
      </c>
      <c r="FH64" s="390">
        <v>-2.8314028314028314E-3</v>
      </c>
      <c r="FI64" s="390">
        <v>-2.8720626631853789E-3</v>
      </c>
      <c r="FJ64" s="391">
        <v>1.4360313315927015E-2</v>
      </c>
      <c r="FK64" s="391" t="s">
        <v>1386</v>
      </c>
      <c r="FL64" s="31" t="s">
        <v>1379</v>
      </c>
      <c r="FN64" s="128" t="s">
        <v>1509</v>
      </c>
      <c r="FO64" s="128" t="s">
        <v>1510</v>
      </c>
      <c r="FP64" s="128"/>
    </row>
    <row r="65" spans="1:177" ht="22" hidden="1" customHeight="1" x14ac:dyDescent="0.2">
      <c r="A65" s="13" t="s">
        <v>7</v>
      </c>
      <c r="B65" s="14" t="s">
        <v>77</v>
      </c>
      <c r="C65" s="14"/>
      <c r="D65" s="14"/>
      <c r="E65" s="128" t="s">
        <v>87</v>
      </c>
      <c r="F65" s="15"/>
      <c r="G65" s="15" t="s">
        <v>635</v>
      </c>
      <c r="H65" s="91">
        <f t="shared" si="68"/>
        <v>0</v>
      </c>
      <c r="I65" s="95">
        <f t="shared" si="1"/>
        <v>2</v>
      </c>
      <c r="J65" s="91"/>
      <c r="K65" s="256">
        <f t="shared" si="2"/>
        <v>2</v>
      </c>
      <c r="L65" s="101" t="s">
        <v>678</v>
      </c>
      <c r="M65" s="99">
        <v>1</v>
      </c>
      <c r="N65" s="89"/>
      <c r="O65" s="98" t="str">
        <f t="shared" si="3"/>
        <v>_x000D__x000D_</v>
      </c>
      <c r="P65" s="144"/>
      <c r="Q65" s="55"/>
      <c r="R65" s="64" t="s">
        <v>918</v>
      </c>
      <c r="S65" s="425"/>
      <c r="T65" s="300" t="s">
        <v>874</v>
      </c>
      <c r="U65" s="300" t="s">
        <v>834</v>
      </c>
      <c r="V65" s="300" t="s">
        <v>834</v>
      </c>
      <c r="W65" s="258"/>
      <c r="X65" s="307" t="s">
        <v>834</v>
      </c>
      <c r="Y65" s="274"/>
      <c r="Z65" s="426"/>
      <c r="AA65" s="320">
        <f t="shared" si="64"/>
        <v>0</v>
      </c>
      <c r="AB65" s="320">
        <f t="shared" si="5"/>
        <v>0</v>
      </c>
      <c r="AC65" s="320">
        <f t="shared" si="6"/>
        <v>0</v>
      </c>
      <c r="AD65" s="320">
        <f t="shared" si="7"/>
        <v>0</v>
      </c>
      <c r="AE65" s="320">
        <f t="shared" si="8"/>
        <v>0</v>
      </c>
      <c r="AF65" s="320">
        <f t="shared" si="9"/>
        <v>0</v>
      </c>
      <c r="AG65" s="320">
        <f t="shared" si="63"/>
        <v>0</v>
      </c>
      <c r="AH65" s="427"/>
      <c r="AI65" s="320">
        <f t="shared" si="11"/>
        <v>0</v>
      </c>
      <c r="AJ65" s="320">
        <f t="shared" si="12"/>
        <v>0</v>
      </c>
      <c r="AK65" s="320">
        <f t="shared" si="13"/>
        <v>0</v>
      </c>
      <c r="AL65" s="320">
        <f t="shared" si="14"/>
        <v>0</v>
      </c>
      <c r="AM65" s="320">
        <f t="shared" si="15"/>
        <v>0</v>
      </c>
      <c r="AN65" s="320">
        <f t="shared" si="16"/>
        <v>0</v>
      </c>
      <c r="AO65" s="427"/>
      <c r="AP65" s="320">
        <f t="shared" si="17"/>
        <v>0</v>
      </c>
      <c r="AQ65" s="320">
        <f t="shared" si="18"/>
        <v>0</v>
      </c>
      <c r="AR65" s="320">
        <f t="shared" si="19"/>
        <v>0</v>
      </c>
      <c r="AS65" s="320">
        <f t="shared" si="20"/>
        <v>0</v>
      </c>
      <c r="AT65" s="320">
        <f t="shared" si="21"/>
        <v>0</v>
      </c>
      <c r="AU65" s="320">
        <f t="shared" si="22"/>
        <v>0</v>
      </c>
      <c r="AV65" s="427"/>
      <c r="AW65" s="320">
        <f t="shared" si="23"/>
        <v>0</v>
      </c>
      <c r="AX65" s="320">
        <f t="shared" si="24"/>
        <v>0</v>
      </c>
      <c r="AY65" s="320">
        <f t="shared" si="25"/>
        <v>0</v>
      </c>
      <c r="AZ65" s="320">
        <f t="shared" si="26"/>
        <v>0</v>
      </c>
      <c r="BA65" s="17">
        <v>1</v>
      </c>
      <c r="BB65" s="17" t="s">
        <v>874</v>
      </c>
      <c r="BC65" s="17"/>
      <c r="BD65" s="17"/>
      <c r="BE65" s="17"/>
      <c r="BF65" s="17"/>
      <c r="BG65" s="428">
        <f t="shared" si="65"/>
        <v>0</v>
      </c>
      <c r="BH65" s="17"/>
      <c r="BI65" s="17"/>
      <c r="BJ65" s="17"/>
      <c r="BK65" s="17"/>
      <c r="BL65" s="17"/>
      <c r="BM65" s="17"/>
      <c r="BN65" s="320">
        <f t="shared" si="66"/>
        <v>0</v>
      </c>
      <c r="BO65" s="320">
        <f t="shared" si="28"/>
        <v>0</v>
      </c>
      <c r="BP65" s="427"/>
      <c r="BQ65" s="427"/>
      <c r="BR65" s="320">
        <f t="shared" si="67"/>
        <v>0</v>
      </c>
      <c r="BS65" s="320">
        <f t="shared" si="67"/>
        <v>0</v>
      </c>
      <c r="BT65" s="427"/>
      <c r="BU65" s="320">
        <f t="shared" si="30"/>
        <v>0</v>
      </c>
      <c r="BV65" s="320">
        <f t="shared" si="31"/>
        <v>0</v>
      </c>
      <c r="BW65" s="320">
        <f t="shared" si="32"/>
        <v>0</v>
      </c>
      <c r="BX65" s="427"/>
      <c r="BY65" s="320">
        <f t="shared" si="33"/>
        <v>0</v>
      </c>
      <c r="BZ65" s="320">
        <f t="shared" si="34"/>
        <v>0</v>
      </c>
      <c r="CA65" s="320">
        <f t="shared" si="35"/>
        <v>0</v>
      </c>
      <c r="CB65" s="320">
        <f t="shared" si="36"/>
        <v>0</v>
      </c>
      <c r="CC65" s="427"/>
      <c r="CD65" s="320">
        <f t="shared" si="37"/>
        <v>0</v>
      </c>
      <c r="CE65" s="320">
        <f t="shared" si="38"/>
        <v>0</v>
      </c>
      <c r="CF65" s="320">
        <f t="shared" si="39"/>
        <v>0</v>
      </c>
      <c r="CG65" s="320">
        <f t="shared" si="40"/>
        <v>0</v>
      </c>
      <c r="CH65" s="427"/>
      <c r="CI65" s="427"/>
      <c r="CJ65" s="427"/>
      <c r="CK65" s="427"/>
      <c r="CL65" s="320">
        <f t="shared" si="53"/>
        <v>0</v>
      </c>
      <c r="CM65" s="320">
        <f t="shared" si="41"/>
        <v>0</v>
      </c>
      <c r="CN65" s="320">
        <f t="shared" si="42"/>
        <v>0</v>
      </c>
      <c r="CO65" s="320">
        <f t="shared" si="43"/>
        <v>0</v>
      </c>
      <c r="CP65" s="427"/>
      <c r="CQ65" s="427"/>
      <c r="CR65" s="320">
        <f t="shared" si="44"/>
        <v>0</v>
      </c>
      <c r="CS65" s="320">
        <f t="shared" si="45"/>
        <v>0</v>
      </c>
      <c r="CT65" s="320">
        <f t="shared" si="58"/>
        <v>0</v>
      </c>
      <c r="CU65" s="320">
        <f t="shared" si="59"/>
        <v>0</v>
      </c>
      <c r="CV65" s="427"/>
      <c r="CW65" s="17"/>
      <c r="CX65" s="320">
        <f t="shared" si="47"/>
        <v>0</v>
      </c>
      <c r="CY65" s="320">
        <f t="shared" si="48"/>
        <v>0</v>
      </c>
      <c r="CZ65" s="320">
        <f t="shared" si="49"/>
        <v>0</v>
      </c>
      <c r="DA65" s="17"/>
      <c r="DB65" s="17"/>
      <c r="DC65" s="17"/>
      <c r="DD65" s="31"/>
      <c r="DE65" s="323"/>
      <c r="DF65" s="323"/>
      <c r="DG65" s="323"/>
      <c r="DH65" s="323"/>
      <c r="DI65" s="323"/>
      <c r="DJ65" s="323"/>
      <c r="DK65" s="323"/>
      <c r="DL65" s="323"/>
      <c r="DM65" s="323"/>
      <c r="DN65" s="323"/>
      <c r="DO65" s="323"/>
      <c r="DP65" s="324"/>
      <c r="DQ65" s="288"/>
      <c r="DR65" s="242"/>
      <c r="DS65" s="429">
        <f t="shared" si="50"/>
        <v>0</v>
      </c>
      <c r="DT65" s="429"/>
      <c r="DU65" s="429"/>
      <c r="DV65" s="429"/>
      <c r="DW65" s="429"/>
      <c r="DX65" s="429"/>
      <c r="DY65" s="429"/>
      <c r="DZ65" s="134"/>
      <c r="EA65" s="134"/>
      <c r="EB65" s="134"/>
      <c r="EC65" s="134"/>
      <c r="ED65" s="123"/>
      <c r="EG65" s="132"/>
      <c r="EH65" s="32"/>
      <c r="EI65" s="455"/>
      <c r="EJ65" s="33" t="e">
        <f t="shared" si="51"/>
        <v>#VALUE!</v>
      </c>
      <c r="EK65" s="42"/>
      <c r="EL65" s="42"/>
      <c r="EM65" s="42"/>
      <c r="EN65" s="36" t="s">
        <v>384</v>
      </c>
      <c r="EO65" s="36"/>
      <c r="EP65" s="36" t="s">
        <v>385</v>
      </c>
      <c r="EQ65" s="48" t="s">
        <v>386</v>
      </c>
      <c r="ER65" s="440">
        <v>0</v>
      </c>
      <c r="ES65" s="431"/>
      <c r="ET65" s="431">
        <v>0</v>
      </c>
      <c r="EU65" s="431">
        <v>0</v>
      </c>
      <c r="EV65" s="447"/>
      <c r="EZ65" s="393" t="s">
        <v>87</v>
      </c>
      <c r="FA65" s="393" t="s">
        <v>87</v>
      </c>
      <c r="FB65" s="389">
        <v>2206</v>
      </c>
      <c r="FC65" s="389">
        <v>2243</v>
      </c>
      <c r="FD65" s="389">
        <v>2252</v>
      </c>
      <c r="FE65" s="389">
        <v>2234</v>
      </c>
      <c r="FF65" s="389">
        <v>2232</v>
      </c>
      <c r="FG65" s="390">
        <v>8.0249665626393218E-4</v>
      </c>
      <c r="FH65" s="390">
        <v>-1.5985790408525754E-3</v>
      </c>
      <c r="FI65" s="390">
        <v>-1.7905102954341988E-4</v>
      </c>
      <c r="FJ65" s="391">
        <v>-0.88799363374117168</v>
      </c>
      <c r="FK65" s="391" t="s">
        <v>1386</v>
      </c>
      <c r="FL65" s="31" t="s">
        <v>1388</v>
      </c>
      <c r="FN65" s="128" t="s">
        <v>1511</v>
      </c>
      <c r="FO65" s="128" t="s">
        <v>1512</v>
      </c>
      <c r="FP65" s="128"/>
    </row>
    <row r="66" spans="1:177" ht="22" hidden="1" customHeight="1" x14ac:dyDescent="0.2">
      <c r="A66" s="13" t="s">
        <v>10</v>
      </c>
      <c r="B66" s="14" t="s">
        <v>51</v>
      </c>
      <c r="C66" s="9" t="s">
        <v>1032</v>
      </c>
      <c r="D66" s="14"/>
      <c r="E66" s="129" t="s">
        <v>88</v>
      </c>
      <c r="F66" s="15"/>
      <c r="G66" s="15" t="s">
        <v>634</v>
      </c>
      <c r="H66" s="91">
        <f t="shared" si="68"/>
        <v>1</v>
      </c>
      <c r="I66" s="95">
        <f t="shared" si="1"/>
        <v>2</v>
      </c>
      <c r="J66" s="91"/>
      <c r="K66" s="256">
        <f t="shared" si="2"/>
        <v>3</v>
      </c>
      <c r="L66" s="101" t="s">
        <v>681</v>
      </c>
      <c r="M66" s="99">
        <v>1</v>
      </c>
      <c r="N66" s="106">
        <v>15000000</v>
      </c>
      <c r="O66" s="98" t="str">
        <f t="shared" si="3"/>
        <v>_x000D__x000D_</v>
      </c>
      <c r="P66" s="144" t="str">
        <f>CONCATENATE(V66,R66,X66)</f>
        <v>_x000D__x000D_</v>
      </c>
      <c r="Q66" s="55"/>
      <c r="R66" s="64" t="s">
        <v>918</v>
      </c>
      <c r="S66" s="425"/>
      <c r="T66" s="300" t="s">
        <v>925</v>
      </c>
      <c r="U66" s="300" t="s">
        <v>834</v>
      </c>
      <c r="V66" s="300" t="s">
        <v>834</v>
      </c>
      <c r="W66" s="258"/>
      <c r="X66" s="307" t="s">
        <v>834</v>
      </c>
      <c r="Y66" s="274"/>
      <c r="Z66" s="426"/>
      <c r="AA66" s="320">
        <f t="shared" si="64"/>
        <v>0</v>
      </c>
      <c r="AB66" s="320">
        <f t="shared" si="5"/>
        <v>0</v>
      </c>
      <c r="AC66" s="320">
        <f t="shared" si="6"/>
        <v>0</v>
      </c>
      <c r="AD66" s="320">
        <f t="shared" si="7"/>
        <v>0</v>
      </c>
      <c r="AE66" s="320">
        <f t="shared" si="8"/>
        <v>0</v>
      </c>
      <c r="AF66" s="320">
        <f t="shared" si="9"/>
        <v>0</v>
      </c>
      <c r="AG66" s="320">
        <f t="shared" si="63"/>
        <v>0</v>
      </c>
      <c r="AH66" s="427"/>
      <c r="AI66" s="320">
        <f t="shared" si="11"/>
        <v>0</v>
      </c>
      <c r="AJ66" s="320">
        <f t="shared" si="12"/>
        <v>0</v>
      </c>
      <c r="AK66" s="320">
        <f t="shared" si="13"/>
        <v>0</v>
      </c>
      <c r="AL66" s="320">
        <f t="shared" si="14"/>
        <v>0</v>
      </c>
      <c r="AM66" s="320">
        <f t="shared" si="15"/>
        <v>0</v>
      </c>
      <c r="AN66" s="320">
        <f t="shared" si="16"/>
        <v>0</v>
      </c>
      <c r="AO66" s="427"/>
      <c r="AP66" s="320">
        <f t="shared" si="17"/>
        <v>0</v>
      </c>
      <c r="AQ66" s="320">
        <f t="shared" si="18"/>
        <v>0</v>
      </c>
      <c r="AR66" s="320">
        <f t="shared" si="19"/>
        <v>0</v>
      </c>
      <c r="AS66" s="320">
        <f t="shared" si="20"/>
        <v>0</v>
      </c>
      <c r="AT66" s="320">
        <f t="shared" si="21"/>
        <v>0</v>
      </c>
      <c r="AU66" s="320">
        <f t="shared" si="22"/>
        <v>0</v>
      </c>
      <c r="AV66" s="427"/>
      <c r="AW66" s="320">
        <f t="shared" si="23"/>
        <v>0</v>
      </c>
      <c r="AX66" s="320">
        <f t="shared" si="24"/>
        <v>0</v>
      </c>
      <c r="AY66" s="320">
        <f t="shared" si="25"/>
        <v>0</v>
      </c>
      <c r="AZ66" s="320">
        <f t="shared" si="26"/>
        <v>0</v>
      </c>
      <c r="BA66" s="17" t="s">
        <v>218</v>
      </c>
      <c r="BB66" s="17" t="s">
        <v>218</v>
      </c>
      <c r="BC66" s="17"/>
      <c r="BD66" s="17"/>
      <c r="BE66" s="17"/>
      <c r="BF66" s="17"/>
      <c r="BG66" s="428">
        <f t="shared" si="65"/>
        <v>0</v>
      </c>
      <c r="BH66" s="17"/>
      <c r="BI66" s="17"/>
      <c r="BJ66" s="17"/>
      <c r="BK66" s="17"/>
      <c r="BL66" s="17"/>
      <c r="BM66" s="17"/>
      <c r="BN66" s="320">
        <f t="shared" si="66"/>
        <v>0</v>
      </c>
      <c r="BO66" s="320">
        <f t="shared" si="28"/>
        <v>0</v>
      </c>
      <c r="BP66" s="427"/>
      <c r="BQ66" s="427"/>
      <c r="BR66" s="320">
        <f t="shared" si="67"/>
        <v>0</v>
      </c>
      <c r="BS66" s="320">
        <f t="shared" si="67"/>
        <v>0</v>
      </c>
      <c r="BT66" s="427"/>
      <c r="BU66" s="320">
        <f t="shared" si="30"/>
        <v>0</v>
      </c>
      <c r="BV66" s="320">
        <f t="shared" si="31"/>
        <v>0</v>
      </c>
      <c r="BW66" s="320">
        <f t="shared" si="32"/>
        <v>0</v>
      </c>
      <c r="BX66" s="427"/>
      <c r="BY66" s="320">
        <f t="shared" si="33"/>
        <v>0</v>
      </c>
      <c r="BZ66" s="320">
        <f t="shared" si="34"/>
        <v>0</v>
      </c>
      <c r="CA66" s="320">
        <f t="shared" si="35"/>
        <v>0</v>
      </c>
      <c r="CB66" s="320">
        <f t="shared" si="36"/>
        <v>0</v>
      </c>
      <c r="CC66" s="427"/>
      <c r="CD66" s="320">
        <f t="shared" si="37"/>
        <v>0</v>
      </c>
      <c r="CE66" s="320">
        <f t="shared" si="38"/>
        <v>0</v>
      </c>
      <c r="CF66" s="320">
        <f t="shared" si="39"/>
        <v>0</v>
      </c>
      <c r="CG66" s="320">
        <f t="shared" si="40"/>
        <v>0</v>
      </c>
      <c r="CH66" s="427"/>
      <c r="CI66" s="427"/>
      <c r="CJ66" s="427"/>
      <c r="CK66" s="427"/>
      <c r="CL66" s="320">
        <f t="shared" si="53"/>
        <v>0</v>
      </c>
      <c r="CM66" s="320">
        <f t="shared" si="41"/>
        <v>0</v>
      </c>
      <c r="CN66" s="320">
        <f t="shared" si="42"/>
        <v>0</v>
      </c>
      <c r="CO66" s="320">
        <f t="shared" si="43"/>
        <v>0</v>
      </c>
      <c r="CP66" s="427"/>
      <c r="CQ66" s="427"/>
      <c r="CR66" s="320">
        <f t="shared" si="44"/>
        <v>0</v>
      </c>
      <c r="CS66" s="320">
        <f t="shared" si="45"/>
        <v>0</v>
      </c>
      <c r="CT66" s="320">
        <f t="shared" si="58"/>
        <v>0</v>
      </c>
      <c r="CU66" s="320">
        <f t="shared" si="59"/>
        <v>0</v>
      </c>
      <c r="CV66" s="427"/>
      <c r="CW66" s="17"/>
      <c r="CX66" s="320">
        <f t="shared" si="47"/>
        <v>0</v>
      </c>
      <c r="CY66" s="320">
        <f t="shared" si="48"/>
        <v>0</v>
      </c>
      <c r="CZ66" s="320">
        <f t="shared" si="49"/>
        <v>0</v>
      </c>
      <c r="DA66" s="17"/>
      <c r="DB66" s="17"/>
      <c r="DC66" s="17"/>
      <c r="DD66" s="31"/>
      <c r="DE66" s="321"/>
      <c r="DF66" s="321"/>
      <c r="DG66" s="321"/>
      <c r="DH66" s="321"/>
      <c r="DI66" s="321"/>
      <c r="DJ66" s="321"/>
      <c r="DK66" s="321"/>
      <c r="DL66" s="321"/>
      <c r="DM66" s="321"/>
      <c r="DN66" s="321"/>
      <c r="DO66" s="321"/>
      <c r="DP66" s="322"/>
      <c r="DQ66" s="288"/>
      <c r="DR66" s="243"/>
      <c r="DS66" s="429">
        <f t="shared" si="50"/>
        <v>0</v>
      </c>
      <c r="DT66" s="429">
        <f>SUM(BA66:BF66)/5</f>
        <v>0</v>
      </c>
      <c r="DU66" s="429"/>
      <c r="DV66" s="429"/>
      <c r="DW66" s="429"/>
      <c r="DX66" s="429"/>
      <c r="DY66" s="444"/>
      <c r="DZ66" s="134"/>
      <c r="EA66" s="134"/>
      <c r="EB66" s="134"/>
      <c r="EC66" s="134"/>
      <c r="ED66" s="123"/>
      <c r="EG66" s="132"/>
      <c r="EH66" s="32">
        <v>1</v>
      </c>
      <c r="EI66" s="453"/>
      <c r="EJ66" s="33" t="e">
        <f t="shared" si="51"/>
        <v>#VALUE!</v>
      </c>
      <c r="EK66" s="42"/>
      <c r="EL66" s="42"/>
      <c r="EM66" s="42"/>
      <c r="EN66" s="36" t="s">
        <v>432</v>
      </c>
      <c r="EO66" s="36"/>
      <c r="EP66" s="36" t="s">
        <v>433</v>
      </c>
      <c r="EQ66" s="37" t="s">
        <v>459</v>
      </c>
      <c r="ER66" s="440">
        <v>1</v>
      </c>
      <c r="ES66" s="431">
        <v>1</v>
      </c>
      <c r="ET66" s="431">
        <v>0</v>
      </c>
      <c r="EU66" s="431">
        <v>0</v>
      </c>
      <c r="EV66" s="447">
        <v>0</v>
      </c>
      <c r="EZ66" s="393" t="s">
        <v>88</v>
      </c>
      <c r="FA66" s="393" t="s">
        <v>88</v>
      </c>
      <c r="FB66" s="389">
        <v>15114</v>
      </c>
      <c r="FC66" s="389">
        <v>13705</v>
      </c>
      <c r="FD66" s="389">
        <v>13000</v>
      </c>
      <c r="FE66" s="389">
        <v>12296</v>
      </c>
      <c r="FF66" s="389">
        <v>12499</v>
      </c>
      <c r="FG66" s="390">
        <v>-1.02882159795695E-2</v>
      </c>
      <c r="FH66" s="390">
        <v>-1.0830769230769231E-2</v>
      </c>
      <c r="FI66" s="390">
        <v>3.3018867924528303E-3</v>
      </c>
      <c r="FJ66" s="391">
        <v>-1.3048617066895367</v>
      </c>
      <c r="FK66" s="391" t="s">
        <v>1386</v>
      </c>
      <c r="FL66" s="31" t="s">
        <v>1393</v>
      </c>
      <c r="FN66" s="129" t="s">
        <v>1513</v>
      </c>
      <c r="FO66" s="129" t="s">
        <v>1514</v>
      </c>
      <c r="FP66" s="129"/>
    </row>
    <row r="67" spans="1:177" ht="22" hidden="1" customHeight="1" x14ac:dyDescent="0.2">
      <c r="A67" s="13" t="s">
        <v>7</v>
      </c>
      <c r="B67" s="14"/>
      <c r="C67" s="14"/>
      <c r="D67" s="14"/>
      <c r="E67" s="128" t="s">
        <v>89</v>
      </c>
      <c r="F67" s="15"/>
      <c r="G67" s="15" t="s">
        <v>635</v>
      </c>
      <c r="H67" s="91">
        <f t="shared" si="68"/>
        <v>0</v>
      </c>
      <c r="I67" s="95">
        <f t="shared" si="1"/>
        <v>2</v>
      </c>
      <c r="J67" s="91"/>
      <c r="K67" s="256">
        <f t="shared" si="2"/>
        <v>2</v>
      </c>
      <c r="L67" s="101" t="s">
        <v>678</v>
      </c>
      <c r="M67" s="25">
        <v>1</v>
      </c>
      <c r="N67" s="89"/>
      <c r="O67" s="98" t="str">
        <f t="shared" si="3"/>
        <v>_x000D__x000D_</v>
      </c>
      <c r="P67" s="144"/>
      <c r="Q67" s="55"/>
      <c r="R67" s="64" t="s">
        <v>918</v>
      </c>
      <c r="S67" s="425"/>
      <c r="T67" s="300" t="s">
        <v>887</v>
      </c>
      <c r="U67" s="300" t="s">
        <v>249</v>
      </c>
      <c r="V67" s="300" t="s">
        <v>834</v>
      </c>
      <c r="W67" s="258"/>
      <c r="X67" s="307" t="s">
        <v>834</v>
      </c>
      <c r="Y67" s="274"/>
      <c r="Z67" s="426"/>
      <c r="AA67" s="320">
        <f t="shared" si="64"/>
        <v>0</v>
      </c>
      <c r="AB67" s="320">
        <f t="shared" si="5"/>
        <v>0</v>
      </c>
      <c r="AC67" s="320">
        <f t="shared" si="6"/>
        <v>0</v>
      </c>
      <c r="AD67" s="320">
        <f t="shared" si="7"/>
        <v>0</v>
      </c>
      <c r="AE67" s="320">
        <f t="shared" si="8"/>
        <v>0</v>
      </c>
      <c r="AF67" s="320">
        <f t="shared" si="9"/>
        <v>0</v>
      </c>
      <c r="AG67" s="320">
        <f t="shared" si="63"/>
        <v>0</v>
      </c>
      <c r="AH67" s="427"/>
      <c r="AI67" s="320">
        <f t="shared" si="11"/>
        <v>0</v>
      </c>
      <c r="AJ67" s="320">
        <f t="shared" si="12"/>
        <v>0</v>
      </c>
      <c r="AK67" s="320">
        <f t="shared" si="13"/>
        <v>0</v>
      </c>
      <c r="AL67" s="320">
        <f t="shared" si="14"/>
        <v>0</v>
      </c>
      <c r="AM67" s="320">
        <f t="shared" si="15"/>
        <v>0</v>
      </c>
      <c r="AN67" s="320">
        <f t="shared" si="16"/>
        <v>0</v>
      </c>
      <c r="AO67" s="427"/>
      <c r="AP67" s="320">
        <f t="shared" si="17"/>
        <v>0</v>
      </c>
      <c r="AQ67" s="320">
        <f t="shared" si="18"/>
        <v>0</v>
      </c>
      <c r="AR67" s="320">
        <f t="shared" si="19"/>
        <v>0</v>
      </c>
      <c r="AS67" s="320">
        <f t="shared" si="20"/>
        <v>0</v>
      </c>
      <c r="AT67" s="320">
        <f t="shared" si="21"/>
        <v>0</v>
      </c>
      <c r="AU67" s="320">
        <f t="shared" si="22"/>
        <v>0</v>
      </c>
      <c r="AV67" s="427"/>
      <c r="AW67" s="320">
        <f t="shared" si="23"/>
        <v>0</v>
      </c>
      <c r="AX67" s="320">
        <f t="shared" si="24"/>
        <v>0</v>
      </c>
      <c r="AY67" s="320">
        <f t="shared" si="25"/>
        <v>0</v>
      </c>
      <c r="AZ67" s="320">
        <f t="shared" si="26"/>
        <v>0</v>
      </c>
      <c r="BA67" s="17">
        <v>1</v>
      </c>
      <c r="BB67" s="17" t="s">
        <v>887</v>
      </c>
      <c r="BC67" s="17"/>
      <c r="BD67" s="17"/>
      <c r="BE67" s="17"/>
      <c r="BF67" s="17"/>
      <c r="BG67" s="428">
        <f t="shared" si="65"/>
        <v>0</v>
      </c>
      <c r="BH67" s="17"/>
      <c r="BI67" s="17" t="s">
        <v>249</v>
      </c>
      <c r="BJ67" s="17"/>
      <c r="BK67" s="17"/>
      <c r="BL67" s="17"/>
      <c r="BM67" s="17"/>
      <c r="BN67" s="320">
        <f t="shared" si="66"/>
        <v>0</v>
      </c>
      <c r="BO67" s="320">
        <f t="shared" si="28"/>
        <v>0</v>
      </c>
      <c r="BP67" s="427"/>
      <c r="BQ67" s="427"/>
      <c r="BR67" s="320">
        <f t="shared" si="67"/>
        <v>0</v>
      </c>
      <c r="BS67" s="320">
        <f t="shared" si="67"/>
        <v>0</v>
      </c>
      <c r="BT67" s="427"/>
      <c r="BU67" s="320">
        <f t="shared" si="30"/>
        <v>0</v>
      </c>
      <c r="BV67" s="320">
        <f t="shared" si="31"/>
        <v>0</v>
      </c>
      <c r="BW67" s="320">
        <f t="shared" si="32"/>
        <v>0</v>
      </c>
      <c r="BX67" s="427"/>
      <c r="BY67" s="320">
        <f t="shared" si="33"/>
        <v>0</v>
      </c>
      <c r="BZ67" s="320">
        <f t="shared" si="34"/>
        <v>0</v>
      </c>
      <c r="CA67" s="320">
        <f t="shared" si="35"/>
        <v>0</v>
      </c>
      <c r="CB67" s="320">
        <f t="shared" si="36"/>
        <v>0</v>
      </c>
      <c r="CC67" s="427"/>
      <c r="CD67" s="320">
        <f t="shared" si="37"/>
        <v>0</v>
      </c>
      <c r="CE67" s="320">
        <f t="shared" si="38"/>
        <v>0</v>
      </c>
      <c r="CF67" s="320">
        <f t="shared" si="39"/>
        <v>0</v>
      </c>
      <c r="CG67" s="320">
        <f t="shared" si="40"/>
        <v>0</v>
      </c>
      <c r="CH67" s="427"/>
      <c r="CI67" s="427"/>
      <c r="CJ67" s="427"/>
      <c r="CK67" s="427"/>
      <c r="CL67" s="320">
        <f t="shared" si="53"/>
        <v>0</v>
      </c>
      <c r="CM67" s="320">
        <f t="shared" si="41"/>
        <v>0</v>
      </c>
      <c r="CN67" s="320">
        <f t="shared" si="42"/>
        <v>0</v>
      </c>
      <c r="CO67" s="320">
        <f t="shared" si="43"/>
        <v>0</v>
      </c>
      <c r="CP67" s="427"/>
      <c r="CQ67" s="427"/>
      <c r="CR67" s="320">
        <f t="shared" si="44"/>
        <v>0</v>
      </c>
      <c r="CS67" s="320">
        <f t="shared" si="45"/>
        <v>0</v>
      </c>
      <c r="CT67" s="320">
        <f t="shared" si="58"/>
        <v>0</v>
      </c>
      <c r="CU67" s="320">
        <f t="shared" si="59"/>
        <v>0</v>
      </c>
      <c r="CV67" s="427"/>
      <c r="CW67" s="17"/>
      <c r="CX67" s="320">
        <f t="shared" si="47"/>
        <v>0</v>
      </c>
      <c r="CY67" s="320">
        <f t="shared" si="48"/>
        <v>0</v>
      </c>
      <c r="CZ67" s="320">
        <f t="shared" si="49"/>
        <v>0</v>
      </c>
      <c r="DA67" s="17"/>
      <c r="DB67" s="17"/>
      <c r="DC67" s="17"/>
      <c r="DD67" s="31"/>
      <c r="DE67" s="323"/>
      <c r="DF67" s="323"/>
      <c r="DG67" s="323"/>
      <c r="DH67" s="323"/>
      <c r="DI67" s="323"/>
      <c r="DJ67" s="323"/>
      <c r="DK67" s="323"/>
      <c r="DL67" s="323"/>
      <c r="DM67" s="323"/>
      <c r="DN67" s="323"/>
      <c r="DO67" s="323"/>
      <c r="DP67" s="324"/>
      <c r="DQ67" s="288"/>
      <c r="DR67" s="242"/>
      <c r="DS67" s="429">
        <f t="shared" si="50"/>
        <v>0</v>
      </c>
      <c r="DT67" s="429"/>
      <c r="DU67" s="429"/>
      <c r="DV67" s="429"/>
      <c r="DW67" s="429"/>
      <c r="DX67" s="429"/>
      <c r="DY67" s="429"/>
      <c r="DZ67" s="134"/>
      <c r="EA67" s="134"/>
      <c r="EB67" s="134"/>
      <c r="EC67" s="134"/>
      <c r="ED67" s="123"/>
      <c r="EG67" s="132"/>
      <c r="EH67" s="32"/>
      <c r="EI67" s="455"/>
      <c r="EJ67" s="33" t="e">
        <f t="shared" si="51"/>
        <v>#VALUE!</v>
      </c>
      <c r="EK67" s="42"/>
      <c r="EL67" s="42"/>
      <c r="EM67" s="42"/>
      <c r="EN67" s="454"/>
      <c r="EO67" s="454"/>
      <c r="EP67" s="454"/>
      <c r="EQ67" s="37"/>
      <c r="ER67" s="440">
        <v>0</v>
      </c>
      <c r="ES67" s="431"/>
      <c r="ET67" s="431">
        <v>0</v>
      </c>
      <c r="EU67" s="431">
        <v>0</v>
      </c>
      <c r="EV67" s="447"/>
      <c r="FB67" s="389"/>
      <c r="FC67" s="389"/>
      <c r="FD67" s="389"/>
      <c r="FE67" s="389"/>
      <c r="FF67" s="389"/>
      <c r="FG67" s="390"/>
      <c r="FH67" s="390"/>
      <c r="FI67" s="390"/>
      <c r="FJ67" s="391"/>
      <c r="FK67" s="391"/>
      <c r="FN67" s="128"/>
      <c r="FO67" s="128"/>
      <c r="FP67" s="128"/>
    </row>
    <row r="68" spans="1:177" ht="22" hidden="1" customHeight="1" x14ac:dyDescent="0.2">
      <c r="A68" s="13" t="s">
        <v>24</v>
      </c>
      <c r="B68" s="14" t="s">
        <v>90</v>
      </c>
      <c r="C68" s="14"/>
      <c r="D68" s="14"/>
      <c r="E68" s="128" t="s">
        <v>91</v>
      </c>
      <c r="F68" s="15"/>
      <c r="G68" s="15" t="s">
        <v>634</v>
      </c>
      <c r="H68" s="91">
        <f t="shared" si="68"/>
        <v>1</v>
      </c>
      <c r="I68" s="95">
        <f t="shared" si="1"/>
        <v>0</v>
      </c>
      <c r="J68" s="91"/>
      <c r="K68" s="256">
        <f t="shared" si="2"/>
        <v>1</v>
      </c>
      <c r="L68" s="101">
        <v>0</v>
      </c>
      <c r="M68" s="99"/>
      <c r="N68" s="89"/>
      <c r="O68" s="144" t="str">
        <f t="shared" si="3"/>
        <v>_x000D__x000D_</v>
      </c>
      <c r="P68" s="144"/>
      <c r="Q68" s="55"/>
      <c r="R68" s="64" t="s">
        <v>918</v>
      </c>
      <c r="S68" s="425"/>
      <c r="T68" s="300" t="s">
        <v>834</v>
      </c>
      <c r="U68" s="300" t="s">
        <v>834</v>
      </c>
      <c r="V68" s="300" t="s">
        <v>834</v>
      </c>
      <c r="W68" s="258"/>
      <c r="X68" s="307" t="s">
        <v>834</v>
      </c>
      <c r="Y68" s="274"/>
      <c r="Z68" s="426"/>
      <c r="AA68" s="320">
        <f t="shared" si="64"/>
        <v>0</v>
      </c>
      <c r="AB68" s="320">
        <f t="shared" si="5"/>
        <v>0</v>
      </c>
      <c r="AC68" s="320">
        <f t="shared" si="6"/>
        <v>0</v>
      </c>
      <c r="AD68" s="320">
        <f t="shared" si="7"/>
        <v>0</v>
      </c>
      <c r="AE68" s="320">
        <f t="shared" si="8"/>
        <v>0</v>
      </c>
      <c r="AF68" s="320">
        <f t="shared" si="9"/>
        <v>0</v>
      </c>
      <c r="AG68" s="320">
        <f t="shared" si="63"/>
        <v>0</v>
      </c>
      <c r="AH68" s="427"/>
      <c r="AI68" s="320">
        <f t="shared" si="11"/>
        <v>0</v>
      </c>
      <c r="AJ68" s="320">
        <f t="shared" si="12"/>
        <v>0</v>
      </c>
      <c r="AK68" s="320">
        <f t="shared" si="13"/>
        <v>0</v>
      </c>
      <c r="AL68" s="320">
        <f t="shared" si="14"/>
        <v>0</v>
      </c>
      <c r="AM68" s="320">
        <f t="shared" si="15"/>
        <v>0</v>
      </c>
      <c r="AN68" s="320">
        <f t="shared" si="16"/>
        <v>0</v>
      </c>
      <c r="AO68" s="427"/>
      <c r="AP68" s="320">
        <f t="shared" si="17"/>
        <v>0</v>
      </c>
      <c r="AQ68" s="320">
        <f t="shared" si="18"/>
        <v>0</v>
      </c>
      <c r="AR68" s="320">
        <f t="shared" si="19"/>
        <v>0</v>
      </c>
      <c r="AS68" s="320">
        <f t="shared" si="20"/>
        <v>0</v>
      </c>
      <c r="AT68" s="320">
        <f t="shared" si="21"/>
        <v>0</v>
      </c>
      <c r="AU68" s="320">
        <f t="shared" si="22"/>
        <v>0</v>
      </c>
      <c r="AV68" s="427"/>
      <c r="AW68" s="320">
        <f t="shared" si="23"/>
        <v>0</v>
      </c>
      <c r="AX68" s="320">
        <f t="shared" si="24"/>
        <v>0</v>
      </c>
      <c r="AY68" s="320">
        <f t="shared" si="25"/>
        <v>0</v>
      </c>
      <c r="AZ68" s="320">
        <f t="shared" si="26"/>
        <v>0</v>
      </c>
      <c r="BA68" s="17"/>
      <c r="BB68" s="17" t="s">
        <v>834</v>
      </c>
      <c r="BC68" s="17"/>
      <c r="BD68" s="17"/>
      <c r="BE68" s="17"/>
      <c r="BF68" s="17"/>
      <c r="BG68" s="428">
        <f t="shared" si="65"/>
        <v>0</v>
      </c>
      <c r="BH68" s="17"/>
      <c r="BI68" s="17"/>
      <c r="BJ68" s="17"/>
      <c r="BK68" s="17"/>
      <c r="BL68" s="17"/>
      <c r="BM68" s="17"/>
      <c r="BN68" s="320">
        <f t="shared" si="66"/>
        <v>0</v>
      </c>
      <c r="BO68" s="320">
        <f t="shared" si="28"/>
        <v>0</v>
      </c>
      <c r="BP68" s="427"/>
      <c r="BQ68" s="427"/>
      <c r="BR68" s="320">
        <f t="shared" si="67"/>
        <v>0</v>
      </c>
      <c r="BS68" s="320">
        <f t="shared" si="67"/>
        <v>0</v>
      </c>
      <c r="BT68" s="427"/>
      <c r="BU68" s="320">
        <f t="shared" si="30"/>
        <v>0</v>
      </c>
      <c r="BV68" s="320">
        <f t="shared" si="31"/>
        <v>0</v>
      </c>
      <c r="BW68" s="320">
        <f t="shared" si="32"/>
        <v>0</v>
      </c>
      <c r="BX68" s="427"/>
      <c r="BY68" s="320">
        <f t="shared" si="33"/>
        <v>0</v>
      </c>
      <c r="BZ68" s="320">
        <f t="shared" si="34"/>
        <v>0</v>
      </c>
      <c r="CA68" s="320">
        <f t="shared" si="35"/>
        <v>0</v>
      </c>
      <c r="CB68" s="320">
        <f t="shared" si="36"/>
        <v>0</v>
      </c>
      <c r="CC68" s="427"/>
      <c r="CD68" s="320">
        <f t="shared" si="37"/>
        <v>0</v>
      </c>
      <c r="CE68" s="320">
        <f t="shared" si="38"/>
        <v>0</v>
      </c>
      <c r="CF68" s="320">
        <f t="shared" si="39"/>
        <v>0</v>
      </c>
      <c r="CG68" s="320">
        <f t="shared" si="40"/>
        <v>0</v>
      </c>
      <c r="CH68" s="427"/>
      <c r="CI68" s="427"/>
      <c r="CJ68" s="427"/>
      <c r="CK68" s="427"/>
      <c r="CL68" s="320">
        <f t="shared" si="53"/>
        <v>0</v>
      </c>
      <c r="CM68" s="320">
        <f t="shared" si="41"/>
        <v>0</v>
      </c>
      <c r="CN68" s="320">
        <f t="shared" si="42"/>
        <v>0</v>
      </c>
      <c r="CO68" s="320">
        <f t="shared" si="43"/>
        <v>0</v>
      </c>
      <c r="CP68" s="427"/>
      <c r="CQ68" s="427"/>
      <c r="CR68" s="320">
        <f t="shared" si="44"/>
        <v>0</v>
      </c>
      <c r="CS68" s="320">
        <f t="shared" si="45"/>
        <v>0</v>
      </c>
      <c r="CT68" s="320">
        <f t="shared" si="58"/>
        <v>0</v>
      </c>
      <c r="CU68" s="320">
        <f t="shared" si="59"/>
        <v>0</v>
      </c>
      <c r="CV68" s="427"/>
      <c r="CW68" s="17"/>
      <c r="CX68" s="320">
        <f t="shared" si="47"/>
        <v>0</v>
      </c>
      <c r="CY68" s="320">
        <f t="shared" si="48"/>
        <v>0</v>
      </c>
      <c r="CZ68" s="320">
        <f t="shared" si="49"/>
        <v>0</v>
      </c>
      <c r="DA68" s="17"/>
      <c r="DB68" s="17"/>
      <c r="DC68" s="17"/>
      <c r="DD68" s="31"/>
      <c r="DE68" s="321"/>
      <c r="DF68" s="321"/>
      <c r="DG68" s="321"/>
      <c r="DH68" s="321"/>
      <c r="DI68" s="321"/>
      <c r="DJ68" s="321"/>
      <c r="DK68" s="321"/>
      <c r="DL68" s="321"/>
      <c r="DM68" s="321"/>
      <c r="DN68" s="321"/>
      <c r="DO68" s="321"/>
      <c r="DP68" s="322"/>
      <c r="DQ68" s="288"/>
      <c r="DR68" s="241"/>
      <c r="DS68" s="429">
        <f t="shared" si="50"/>
        <v>0</v>
      </c>
      <c r="DT68" s="429"/>
      <c r="DU68" s="429"/>
      <c r="DV68" s="429"/>
      <c r="DW68" s="429"/>
      <c r="DX68" s="429"/>
      <c r="DY68" s="429"/>
      <c r="DZ68" s="134"/>
      <c r="EA68" s="134"/>
      <c r="EB68" s="134"/>
      <c r="EC68" s="134"/>
      <c r="ED68" s="123"/>
      <c r="EG68" s="132"/>
      <c r="EH68" s="44">
        <v>0</v>
      </c>
      <c r="EI68" s="45"/>
      <c r="EJ68" s="33" t="b">
        <f t="shared" si="51"/>
        <v>0</v>
      </c>
      <c r="EK68" s="439"/>
      <c r="EL68" s="439"/>
      <c r="EM68" s="439"/>
      <c r="EN68" s="439"/>
      <c r="EO68" s="439"/>
      <c r="EP68" s="439"/>
      <c r="EQ68" s="38"/>
      <c r="ER68" s="58">
        <v>1</v>
      </c>
      <c r="ES68" s="68"/>
      <c r="ET68" s="67"/>
      <c r="EU68" s="430"/>
      <c r="EV68" s="462"/>
      <c r="EZ68" s="393" t="s">
        <v>91</v>
      </c>
      <c r="FA68" s="393" t="s">
        <v>91</v>
      </c>
      <c r="FB68" s="389">
        <v>952.9</v>
      </c>
      <c r="FC68" s="389">
        <v>980.44</v>
      </c>
      <c r="FD68" s="389">
        <v>997.26</v>
      </c>
      <c r="FE68" s="389">
        <v>992.89599999999996</v>
      </c>
      <c r="FF68" s="389">
        <v>1017.1950000000001</v>
      </c>
      <c r="FG68" s="390">
        <v>3.4311125617069753E-3</v>
      </c>
      <c r="FH68" s="390">
        <v>-8.7519804263683156E-4</v>
      </c>
      <c r="FI68" s="390">
        <v>4.8945710326157212E-3</v>
      </c>
      <c r="FJ68" s="391">
        <v>-6.5925296837606746</v>
      </c>
      <c r="FK68" s="391" t="s">
        <v>1386</v>
      </c>
      <c r="FL68" s="31" t="s">
        <v>1393</v>
      </c>
      <c r="FN68" s="128" t="s">
        <v>1515</v>
      </c>
      <c r="FO68" s="128" t="s">
        <v>1516</v>
      </c>
      <c r="FP68" s="128"/>
    </row>
    <row r="69" spans="1:177" ht="22" hidden="1" customHeight="1" x14ac:dyDescent="0.2">
      <c r="A69" s="13" t="s">
        <v>7</v>
      </c>
      <c r="B69" s="14" t="s">
        <v>77</v>
      </c>
      <c r="C69" s="9" t="s">
        <v>1022</v>
      </c>
      <c r="D69" s="14"/>
      <c r="E69" s="128" t="s">
        <v>92</v>
      </c>
      <c r="F69" s="15"/>
      <c r="G69" s="15" t="s">
        <v>635</v>
      </c>
      <c r="H69" s="91">
        <f t="shared" si="68"/>
        <v>0</v>
      </c>
      <c r="I69" s="95">
        <f t="shared" si="1"/>
        <v>0</v>
      </c>
      <c r="J69" s="91"/>
      <c r="K69" s="256">
        <f t="shared" si="2"/>
        <v>0</v>
      </c>
      <c r="L69" s="101">
        <v>0</v>
      </c>
      <c r="M69" s="99"/>
      <c r="N69" s="89"/>
      <c r="O69" s="98" t="str">
        <f t="shared" si="3"/>
        <v>_x000D__x000D_</v>
      </c>
      <c r="P69" s="144" t="str">
        <f>CONCATENATE(V69,R69,X69)</f>
        <v>_x000D__x000D_</v>
      </c>
      <c r="Q69" s="55"/>
      <c r="R69" s="64" t="s">
        <v>918</v>
      </c>
      <c r="S69" s="425"/>
      <c r="T69" s="300" t="s">
        <v>875</v>
      </c>
      <c r="U69" s="300" t="s">
        <v>250</v>
      </c>
      <c r="V69" s="300" t="s">
        <v>834</v>
      </c>
      <c r="W69" s="258"/>
      <c r="X69" s="307" t="s">
        <v>834</v>
      </c>
      <c r="Y69" s="274"/>
      <c r="Z69" s="426"/>
      <c r="AA69" s="320">
        <f t="shared" si="64"/>
        <v>0</v>
      </c>
      <c r="AB69" s="320">
        <f t="shared" si="5"/>
        <v>0</v>
      </c>
      <c r="AC69" s="320">
        <f t="shared" si="6"/>
        <v>0</v>
      </c>
      <c r="AD69" s="320">
        <f t="shared" si="7"/>
        <v>0</v>
      </c>
      <c r="AE69" s="320">
        <f t="shared" si="8"/>
        <v>0</v>
      </c>
      <c r="AF69" s="320">
        <f t="shared" si="9"/>
        <v>0</v>
      </c>
      <c r="AG69" s="320">
        <f t="shared" si="63"/>
        <v>0</v>
      </c>
      <c r="AH69" s="427"/>
      <c r="AI69" s="320">
        <f t="shared" si="11"/>
        <v>0</v>
      </c>
      <c r="AJ69" s="320">
        <f t="shared" si="12"/>
        <v>0</v>
      </c>
      <c r="AK69" s="320">
        <f t="shared" si="13"/>
        <v>0</v>
      </c>
      <c r="AL69" s="320">
        <f t="shared" si="14"/>
        <v>0</v>
      </c>
      <c r="AM69" s="320">
        <f t="shared" si="15"/>
        <v>0</v>
      </c>
      <c r="AN69" s="320">
        <f t="shared" si="16"/>
        <v>0</v>
      </c>
      <c r="AO69" s="427"/>
      <c r="AP69" s="320">
        <f t="shared" si="17"/>
        <v>0</v>
      </c>
      <c r="AQ69" s="320">
        <f t="shared" si="18"/>
        <v>0</v>
      </c>
      <c r="AR69" s="320">
        <f t="shared" si="19"/>
        <v>0</v>
      </c>
      <c r="AS69" s="320">
        <f t="shared" si="20"/>
        <v>0</v>
      </c>
      <c r="AT69" s="320">
        <f t="shared" si="21"/>
        <v>0</v>
      </c>
      <c r="AU69" s="320">
        <f t="shared" si="22"/>
        <v>0</v>
      </c>
      <c r="AV69" s="427"/>
      <c r="AW69" s="320">
        <f t="shared" si="23"/>
        <v>0</v>
      </c>
      <c r="AX69" s="320">
        <f t="shared" si="24"/>
        <v>0</v>
      </c>
      <c r="AY69" s="320">
        <f t="shared" si="25"/>
        <v>0</v>
      </c>
      <c r="AZ69" s="320">
        <f t="shared" si="26"/>
        <v>0</v>
      </c>
      <c r="BA69" s="17">
        <v>1</v>
      </c>
      <c r="BB69" s="17" t="s">
        <v>875</v>
      </c>
      <c r="BC69" s="17"/>
      <c r="BD69" s="17"/>
      <c r="BE69" s="17"/>
      <c r="BF69" s="17"/>
      <c r="BG69" s="428">
        <f t="shared" si="65"/>
        <v>0</v>
      </c>
      <c r="BH69" s="17"/>
      <c r="BI69" s="17" t="s">
        <v>250</v>
      </c>
      <c r="BJ69" s="17"/>
      <c r="BK69" s="17"/>
      <c r="BL69" s="17"/>
      <c r="BM69" s="17"/>
      <c r="BN69" s="320">
        <f t="shared" si="66"/>
        <v>0</v>
      </c>
      <c r="BO69" s="320">
        <f t="shared" si="28"/>
        <v>0</v>
      </c>
      <c r="BP69" s="427"/>
      <c r="BQ69" s="427"/>
      <c r="BR69" s="320">
        <f t="shared" si="67"/>
        <v>0</v>
      </c>
      <c r="BS69" s="320">
        <f t="shared" si="67"/>
        <v>0</v>
      </c>
      <c r="BT69" s="427"/>
      <c r="BU69" s="320">
        <f t="shared" si="30"/>
        <v>0</v>
      </c>
      <c r="BV69" s="320">
        <f t="shared" si="31"/>
        <v>0</v>
      </c>
      <c r="BW69" s="320">
        <f t="shared" si="32"/>
        <v>0</v>
      </c>
      <c r="BX69" s="427"/>
      <c r="BY69" s="320">
        <f t="shared" si="33"/>
        <v>0</v>
      </c>
      <c r="BZ69" s="320">
        <f t="shared" si="34"/>
        <v>0</v>
      </c>
      <c r="CA69" s="320">
        <f t="shared" si="35"/>
        <v>0</v>
      </c>
      <c r="CB69" s="320">
        <f t="shared" si="36"/>
        <v>0</v>
      </c>
      <c r="CC69" s="427"/>
      <c r="CD69" s="320">
        <f t="shared" si="37"/>
        <v>0</v>
      </c>
      <c r="CE69" s="320">
        <f t="shared" si="38"/>
        <v>0</v>
      </c>
      <c r="CF69" s="320">
        <f t="shared" si="39"/>
        <v>0</v>
      </c>
      <c r="CG69" s="320">
        <f t="shared" si="40"/>
        <v>0</v>
      </c>
      <c r="CH69" s="427"/>
      <c r="CI69" s="427"/>
      <c r="CJ69" s="427"/>
      <c r="CK69" s="427"/>
      <c r="CL69" s="320">
        <f t="shared" si="53"/>
        <v>0</v>
      </c>
      <c r="CM69" s="320">
        <f t="shared" si="41"/>
        <v>0</v>
      </c>
      <c r="CN69" s="320">
        <f t="shared" si="42"/>
        <v>0</v>
      </c>
      <c r="CO69" s="320">
        <f t="shared" si="43"/>
        <v>0</v>
      </c>
      <c r="CP69" s="427"/>
      <c r="CQ69" s="427"/>
      <c r="CR69" s="320">
        <f t="shared" si="44"/>
        <v>0</v>
      </c>
      <c r="CS69" s="320">
        <f t="shared" si="45"/>
        <v>0</v>
      </c>
      <c r="CT69" s="320">
        <f t="shared" si="58"/>
        <v>0</v>
      </c>
      <c r="CU69" s="320">
        <f t="shared" si="59"/>
        <v>0</v>
      </c>
      <c r="CV69" s="427"/>
      <c r="CW69" s="17"/>
      <c r="CX69" s="320">
        <f t="shared" si="47"/>
        <v>0</v>
      </c>
      <c r="CY69" s="320">
        <f t="shared" si="48"/>
        <v>0</v>
      </c>
      <c r="CZ69" s="320">
        <f t="shared" si="49"/>
        <v>0</v>
      </c>
      <c r="DA69" s="17"/>
      <c r="DB69" s="17"/>
      <c r="DC69" s="17"/>
      <c r="DD69" s="31"/>
      <c r="DE69" s="323"/>
      <c r="DF69" s="323"/>
      <c r="DG69" s="323"/>
      <c r="DH69" s="323"/>
      <c r="DI69" s="323"/>
      <c r="DJ69" s="323"/>
      <c r="DK69" s="323"/>
      <c r="DL69" s="323"/>
      <c r="DM69" s="323"/>
      <c r="DN69" s="323"/>
      <c r="DO69" s="323"/>
      <c r="DP69" s="324"/>
      <c r="DQ69" s="288"/>
      <c r="DR69" s="242"/>
      <c r="DS69" s="429">
        <f t="shared" si="50"/>
        <v>0</v>
      </c>
      <c r="DT69" s="429"/>
      <c r="DU69" s="429"/>
      <c r="DV69" s="429"/>
      <c r="DW69" s="429"/>
      <c r="DX69" s="429"/>
      <c r="DY69" s="429"/>
      <c r="DZ69" s="134"/>
      <c r="EA69" s="134"/>
      <c r="EB69" s="134"/>
      <c r="EC69" s="134"/>
      <c r="ED69" s="123"/>
      <c r="EG69" s="132"/>
      <c r="EH69" s="184"/>
      <c r="EI69" s="188"/>
      <c r="EJ69" s="180" t="b">
        <f t="shared" si="51"/>
        <v>0</v>
      </c>
      <c r="EK69" s="181"/>
      <c r="EL69" s="181"/>
      <c r="EM69" s="181"/>
      <c r="EN69" s="463"/>
      <c r="EO69" s="463"/>
      <c r="EP69" s="463"/>
      <c r="EQ69" s="189"/>
      <c r="ER69" s="464">
        <v>0</v>
      </c>
      <c r="ES69" s="465"/>
      <c r="ET69" s="465"/>
      <c r="EU69" s="465"/>
      <c r="EV69" s="466"/>
      <c r="EZ69" s="393" t="s">
        <v>92</v>
      </c>
      <c r="FA69" s="393" t="s">
        <v>92</v>
      </c>
      <c r="FB69" s="389">
        <v>21875</v>
      </c>
      <c r="FC69" s="389">
        <v>22445</v>
      </c>
      <c r="FD69" s="389">
        <v>22143</v>
      </c>
      <c r="FE69" s="389">
        <v>22218</v>
      </c>
      <c r="FF69" s="389">
        <v>22218</v>
      </c>
      <c r="FG69" s="390">
        <v>-2.6910224994430828E-3</v>
      </c>
      <c r="FH69" s="390">
        <v>6.7741498441945534E-4</v>
      </c>
      <c r="FI69" s="390">
        <v>0</v>
      </c>
      <c r="FJ69" s="391" t="s">
        <v>1389</v>
      </c>
      <c r="FK69" s="391">
        <v>-1</v>
      </c>
      <c r="FL69" s="31" t="s">
        <v>1394</v>
      </c>
      <c r="FN69" s="128" t="s">
        <v>1517</v>
      </c>
      <c r="FO69" s="128" t="s">
        <v>1518</v>
      </c>
      <c r="FP69" s="128"/>
    </row>
    <row r="70" spans="1:177" ht="22" customHeight="1" x14ac:dyDescent="0.2">
      <c r="A70" s="13" t="s">
        <v>7</v>
      </c>
      <c r="B70" s="14" t="s">
        <v>34</v>
      </c>
      <c r="C70" s="14"/>
      <c r="D70" s="14"/>
      <c r="E70" s="230" t="s">
        <v>93</v>
      </c>
      <c r="F70" s="15" t="s">
        <v>1355</v>
      </c>
      <c r="G70" s="176" t="s">
        <v>634</v>
      </c>
      <c r="H70" s="177">
        <f t="shared" si="68"/>
        <v>1</v>
      </c>
      <c r="I70" s="178">
        <f t="shared" ref="I70:I92" si="69">IF(L70=0,0,2)</f>
        <v>0</v>
      </c>
      <c r="J70" s="177"/>
      <c r="K70" s="275">
        <f t="shared" ref="K70:K101" si="70">SUM(H70:J70)</f>
        <v>1</v>
      </c>
      <c r="L70" s="283">
        <v>0</v>
      </c>
      <c r="M70" s="156"/>
      <c r="N70" s="157">
        <v>0</v>
      </c>
      <c r="O70" s="158" t="str">
        <f t="shared" ref="O70:O87" si="71">CONCATENATE(Q70,R70,S70)</f>
        <v>N/A or not found_x000D__x000D_</v>
      </c>
      <c r="P70" s="144" t="str">
        <f>CONCATENATE(V70,R70,X70)</f>
        <v>N/A or not found_x000D__x000D_</v>
      </c>
      <c r="Q70" s="360" t="s">
        <v>925</v>
      </c>
      <c r="R70" s="64" t="s">
        <v>918</v>
      </c>
      <c r="S70" s="460"/>
      <c r="T70" s="314" t="s">
        <v>1098</v>
      </c>
      <c r="U70" s="314" t="s">
        <v>1103</v>
      </c>
      <c r="V70" s="300" t="s">
        <v>925</v>
      </c>
      <c r="W70" s="258"/>
      <c r="X70" s="306" t="s">
        <v>834</v>
      </c>
      <c r="Y70" s="295"/>
      <c r="Z70" s="426" t="s">
        <v>224</v>
      </c>
      <c r="AA70" s="320">
        <f t="shared" si="64"/>
        <v>1</v>
      </c>
      <c r="AB70" s="320">
        <f t="shared" ref="AB70:AB133" si="72">IF(ISNUMBER(SEARCH("1s",$Z70)),1,0)</f>
        <v>0</v>
      </c>
      <c r="AC70" s="320">
        <f t="shared" ref="AC70:AC133" si="73">IF(ISNUMBER(SEARCH("2",$Z70)),1,0)</f>
        <v>1</v>
      </c>
      <c r="AD70" s="320">
        <f t="shared" ref="AD70:AD133" si="74">IF(ISNUMBER(SEARCH("2s",$Z70)),1,0)</f>
        <v>0</v>
      </c>
      <c r="AE70" s="320">
        <v>0</v>
      </c>
      <c r="AF70" s="320">
        <f t="shared" ref="AF70:AF133" si="75">IF(ISNUMBER(SEARCH("3s",$Z70)),1,0)</f>
        <v>0</v>
      </c>
      <c r="AG70" s="320">
        <f t="shared" si="63"/>
        <v>0</v>
      </c>
      <c r="AH70" s="427">
        <v>0</v>
      </c>
      <c r="AI70" s="320">
        <f t="shared" ref="AI70:AI133" si="76">IF(ISNUMBER(SEARCH("1",$AH70)),1,0)</f>
        <v>0</v>
      </c>
      <c r="AJ70" s="320">
        <f t="shared" ref="AJ70:AJ133" si="77">IF(ISNUMBER(SEARCH("1s",$AH70)),1,0)</f>
        <v>0</v>
      </c>
      <c r="AK70" s="320">
        <f t="shared" ref="AK70:AK133" si="78">IF(ISNUMBER(SEARCH("2",$AH70)),1,0)</f>
        <v>0</v>
      </c>
      <c r="AL70" s="320">
        <f t="shared" ref="AL70:AL133" si="79">IF(ISNUMBER(SEARCH("2s",$AH70)),1,0)</f>
        <v>0</v>
      </c>
      <c r="AM70" s="320">
        <f t="shared" ref="AM70:AM133" si="80">IF(ISNUMBER(SEARCH("3",$AH70)),1,0)</f>
        <v>0</v>
      </c>
      <c r="AN70" s="320">
        <f t="shared" ref="AN70:AN133" si="81">IF(ISNUMBER(SEARCH("3s",$AH70)),1,0)</f>
        <v>0</v>
      </c>
      <c r="AO70" s="427">
        <v>0</v>
      </c>
      <c r="AP70" s="320">
        <v>0</v>
      </c>
      <c r="AQ70" s="320">
        <f t="shared" ref="AQ70:AQ133" si="82">IF(ISNUMBER(SEARCH("1s",$AO70)),1,0)</f>
        <v>0</v>
      </c>
      <c r="AR70" s="320">
        <f t="shared" ref="AR70:AR133" si="83">IF(ISNUMBER(SEARCH("2",$AO70)),1,0)</f>
        <v>0</v>
      </c>
      <c r="AS70" s="320">
        <f t="shared" ref="AS70:AS133" si="84">IF(ISNUMBER(SEARCH("2s",$AO70)),1,0)</f>
        <v>0</v>
      </c>
      <c r="AT70" s="320">
        <f t="shared" ref="AT70:AT133" si="85">IF(ISNUMBER(SEARCH("3",$AO70)),1,0)</f>
        <v>0</v>
      </c>
      <c r="AU70" s="320">
        <f t="shared" ref="AU70:AU133" si="86">IF(ISNUMBER(SEARCH("3s",$AO70)),1,0)</f>
        <v>0</v>
      </c>
      <c r="AV70" s="427">
        <v>0</v>
      </c>
      <c r="AW70" s="320">
        <f t="shared" ref="AW70:AW133" si="87">IF(ISNUMBER(SEARCH("1",$AV70)),1,0)</f>
        <v>0</v>
      </c>
      <c r="AX70" s="320">
        <f t="shared" ref="AX70:AX133" si="88">IF(ISNUMBER(SEARCH("2",$AV70)),1,0)</f>
        <v>0</v>
      </c>
      <c r="AY70" s="320">
        <f t="shared" ref="AY70:AY133" si="89">IF(ISNUMBER(SEARCH("3",$AV70)),1,0)</f>
        <v>0</v>
      </c>
      <c r="AZ70" s="320">
        <f t="shared" ref="AZ70:AZ133" si="90">IF(ISNUMBER(SEARCH("4",$AV70)),1,0)</f>
        <v>0</v>
      </c>
      <c r="BA70" s="17">
        <v>1</v>
      </c>
      <c r="BB70" s="17" t="s">
        <v>1304</v>
      </c>
      <c r="BC70" s="17">
        <v>0</v>
      </c>
      <c r="BD70" s="17">
        <v>0</v>
      </c>
      <c r="BE70" s="17">
        <v>0</v>
      </c>
      <c r="BF70" s="17">
        <v>1</v>
      </c>
      <c r="BG70" s="428">
        <f t="shared" si="65"/>
        <v>1</v>
      </c>
      <c r="BH70" s="17">
        <v>0</v>
      </c>
      <c r="BI70" s="17">
        <v>1</v>
      </c>
      <c r="BJ70" s="17" t="s">
        <v>1335</v>
      </c>
      <c r="BK70" s="17">
        <v>0</v>
      </c>
      <c r="BL70" s="17">
        <v>0</v>
      </c>
      <c r="BM70" s="17" t="s">
        <v>834</v>
      </c>
      <c r="BN70" s="320">
        <f t="shared" si="66"/>
        <v>0</v>
      </c>
      <c r="BO70" s="320">
        <f t="shared" ref="BO70:BO76" si="91">IF(ISNUMBER(SEARCH("t",$BL70)),1,0)</f>
        <v>0</v>
      </c>
      <c r="BP70" s="427">
        <v>0</v>
      </c>
      <c r="BQ70" s="427" t="s">
        <v>1189</v>
      </c>
      <c r="BR70" s="320">
        <v>0</v>
      </c>
      <c r="BS70" s="320">
        <f t="shared" si="67"/>
        <v>0</v>
      </c>
      <c r="BT70" s="427" t="s">
        <v>317</v>
      </c>
      <c r="BU70" s="320">
        <f t="shared" ref="BU70:BU133" si="92">IF(ISNUMBER(SEARCH("1",$BT70)),1,0)</f>
        <v>1</v>
      </c>
      <c r="BV70" s="320">
        <f t="shared" ref="BV70:BV133" si="93">IF(ISNUMBER(SEARCH("2",$BT70)),1,0)</f>
        <v>1</v>
      </c>
      <c r="BW70" s="320">
        <v>1</v>
      </c>
      <c r="BX70" s="427" t="s">
        <v>317</v>
      </c>
      <c r="BY70" s="320">
        <f t="shared" ref="BY70:BY115" si="94">IF(ISNUMBER(SEARCH("1",$BX70)),1,0)</f>
        <v>1</v>
      </c>
      <c r="BZ70" s="320">
        <f t="shared" ref="BZ70:BZ133" si="95">IF(ISNUMBER(SEARCH("2",$BX70)),1,0)</f>
        <v>1</v>
      </c>
      <c r="CA70" s="320">
        <f t="shared" ref="CA70:CA95" si="96">IF(ISNUMBER(SEARCH("3",$BX70)),1,0)</f>
        <v>0</v>
      </c>
      <c r="CB70" s="320">
        <f t="shared" ref="CB70:CB115" si="97">IF(ISNUMBER(SEARCH("s",$BX70)),1,0)</f>
        <v>0</v>
      </c>
      <c r="CC70" s="427">
        <v>1</v>
      </c>
      <c r="CD70" s="320">
        <f t="shared" ref="CD70:CD133" si="98">IF(ISNUMBER(SEARCH("1",$CC70)),1,0)</f>
        <v>1</v>
      </c>
      <c r="CE70" s="320">
        <f t="shared" ref="CE70:CE133" si="99">IF(ISNUMBER(SEARCH("2",$CC70)),1,0)</f>
        <v>0</v>
      </c>
      <c r="CF70" s="320">
        <f t="shared" ref="CF70:CF133" si="100">IF(ISNUMBER(SEARCH("3",$CC70)),1,0)</f>
        <v>0</v>
      </c>
      <c r="CG70" s="320">
        <f t="shared" ref="CG70:CG133" si="101">IF(ISNUMBER(SEARCH("s",$CC70)),1,0)</f>
        <v>0</v>
      </c>
      <c r="CH70" s="427">
        <v>0</v>
      </c>
      <c r="CI70" s="427">
        <v>0</v>
      </c>
      <c r="CJ70" s="427">
        <v>0</v>
      </c>
      <c r="CK70" s="427">
        <v>0</v>
      </c>
      <c r="CL70" s="320">
        <f t="shared" si="53"/>
        <v>0</v>
      </c>
      <c r="CM70" s="320">
        <f t="shared" ref="CM70:CM133" si="102">IF(ISNUMBER(SEARCH("2",$CK70)),1,0)</f>
        <v>0</v>
      </c>
      <c r="CN70" s="320">
        <f t="shared" ref="CN70:CN133" si="103">IF(ISNUMBER(SEARCH("3",$CK70)),1,0)</f>
        <v>0</v>
      </c>
      <c r="CO70" s="320">
        <f t="shared" ref="CO70:CO133" si="104">IF(ISNUMBER(SEARCH("s",$CK70)),1,0)</f>
        <v>0</v>
      </c>
      <c r="CP70" s="427">
        <v>0</v>
      </c>
      <c r="CQ70" s="427" t="s">
        <v>831</v>
      </c>
      <c r="CR70" s="320">
        <f t="shared" ref="CR70:CR133" si="105">IF(ISNUMBER(SEARCH("1",$CQ70)),1,0)</f>
        <v>1</v>
      </c>
      <c r="CS70" s="320">
        <v>1</v>
      </c>
      <c r="CT70" s="320">
        <f t="shared" si="58"/>
        <v>1</v>
      </c>
      <c r="CU70" s="320">
        <f t="shared" si="59"/>
        <v>0</v>
      </c>
      <c r="CV70" s="427">
        <v>1</v>
      </c>
      <c r="CW70" s="17">
        <v>4</v>
      </c>
      <c r="CX70" s="320">
        <f t="shared" ref="CX70:CX91" si="106">IF(ISNUMBER(SEARCH("1",$CW70)),1,0)</f>
        <v>0</v>
      </c>
      <c r="CY70" s="320">
        <f t="shared" ref="CY70:CY133" si="107">IF(ISNUMBER(SEARCH("2",$CW70)),1,0)</f>
        <v>0</v>
      </c>
      <c r="CZ70" s="320">
        <f t="shared" ref="CZ70:CZ133" si="108">IF(ISNUMBER(SEARCH("3",$CW70)),1,0)</f>
        <v>0</v>
      </c>
      <c r="DA70" s="17">
        <v>1</v>
      </c>
      <c r="DB70" s="17">
        <v>0</v>
      </c>
      <c r="DC70" s="17">
        <v>0</v>
      </c>
      <c r="DD70" s="31"/>
      <c r="DE70" s="350" t="s">
        <v>388</v>
      </c>
      <c r="DF70" s="350" t="s">
        <v>388</v>
      </c>
      <c r="DG70" s="350" t="s">
        <v>388</v>
      </c>
      <c r="DH70" s="350" t="s">
        <v>388</v>
      </c>
      <c r="DI70" s="346" t="s">
        <v>388</v>
      </c>
      <c r="DJ70" s="350" t="s">
        <v>388</v>
      </c>
      <c r="DK70" s="350" t="s">
        <v>388</v>
      </c>
      <c r="DL70" s="350" t="s">
        <v>388</v>
      </c>
      <c r="DM70" s="350" t="s">
        <v>388</v>
      </c>
      <c r="DN70" s="350" t="s">
        <v>388</v>
      </c>
      <c r="DO70" s="350" t="s">
        <v>388</v>
      </c>
      <c r="DP70" s="351">
        <v>1</v>
      </c>
      <c r="DQ70" s="381"/>
      <c r="DR70" s="239">
        <f>SUM(DS70:DX70)/6</f>
        <v>0.34504830917874396</v>
      </c>
      <c r="DS70" s="429">
        <f t="shared" ref="DS70:DS133" si="109">SUM(AA70:AG70,AI70:AN70,AP70:AU70,AW70:AZ70)/23</f>
        <v>8.6956521739130432E-2</v>
      </c>
      <c r="DT70" s="429">
        <f>SUM(BA70:BE70,BG70)/5</f>
        <v>0.4</v>
      </c>
      <c r="DU70" s="429">
        <f>SUM(BI70,BO70,BS70,BU70:BW70)/6</f>
        <v>0.66666666666666663</v>
      </c>
      <c r="DV70" s="429">
        <f>SUM(BY70-CB70,CD70-CG70)/8</f>
        <v>0.25</v>
      </c>
      <c r="DW70" s="429">
        <f>SUM(CH70:CJ70,CL70:CO70,BN70,BR70)/9</f>
        <v>0</v>
      </c>
      <c r="DX70" s="429">
        <f>SUM(CP70,CR70:CV70)/6</f>
        <v>0.66666666666666663</v>
      </c>
      <c r="DY70" s="467"/>
      <c r="DZ70" s="183"/>
      <c r="EA70" s="183"/>
      <c r="EB70" s="183"/>
      <c r="EC70" s="183"/>
      <c r="ED70" s="183"/>
      <c r="EG70" s="132"/>
      <c r="EH70" s="163"/>
      <c r="EI70" s="164"/>
      <c r="EJ70" s="165" t="b">
        <f t="shared" ref="EJ70:EJ133" si="110">IF((EI70*L70)&gt;0, L70/EI70)</f>
        <v>0</v>
      </c>
      <c r="EK70" s="468"/>
      <c r="EL70" s="468"/>
      <c r="EM70" s="468"/>
      <c r="EN70" s="468"/>
      <c r="EO70" s="468"/>
      <c r="EP70" s="468"/>
      <c r="EQ70" s="166"/>
      <c r="ER70" s="167"/>
      <c r="ES70" s="168"/>
      <c r="ET70" s="18"/>
      <c r="EU70" s="469"/>
      <c r="EV70" s="470"/>
      <c r="EZ70" s="393" t="s">
        <v>93</v>
      </c>
      <c r="FA70" s="393" t="s">
        <v>1381</v>
      </c>
      <c r="FB70" s="389">
        <v>912</v>
      </c>
      <c r="FC70" s="389">
        <v>958</v>
      </c>
      <c r="FD70" s="389">
        <v>975</v>
      </c>
      <c r="FE70" s="389">
        <v>998</v>
      </c>
      <c r="FF70" s="389">
        <v>998</v>
      </c>
      <c r="FG70" s="390">
        <v>3.549060542797495E-3</v>
      </c>
      <c r="FH70" s="390">
        <v>4.7179487179487183E-3</v>
      </c>
      <c r="FI70" s="390">
        <v>0</v>
      </c>
      <c r="FJ70" s="391" t="s">
        <v>1389</v>
      </c>
      <c r="FK70" s="391">
        <v>-1</v>
      </c>
      <c r="FL70" s="31" t="s">
        <v>1394</v>
      </c>
      <c r="FN70" s="230"/>
      <c r="FO70" s="230" t="s">
        <v>1519</v>
      </c>
      <c r="FP70" s="215" t="s">
        <v>1346</v>
      </c>
      <c r="FR70" s="402">
        <v>1</v>
      </c>
      <c r="FS70" s="402">
        <v>0</v>
      </c>
      <c r="FT70" s="402">
        <v>1</v>
      </c>
      <c r="FU70" s="402">
        <v>1</v>
      </c>
    </row>
    <row r="71" spans="1:177" ht="22" customHeight="1" x14ac:dyDescent="0.2">
      <c r="A71" s="13" t="s">
        <v>7</v>
      </c>
      <c r="B71" s="14" t="s">
        <v>27</v>
      </c>
      <c r="C71" s="14"/>
      <c r="D71" s="14"/>
      <c r="E71" s="215" t="s">
        <v>94</v>
      </c>
      <c r="F71" s="15" t="s">
        <v>1357</v>
      </c>
      <c r="G71" s="15" t="s">
        <v>635</v>
      </c>
      <c r="H71" s="91">
        <f t="shared" si="68"/>
        <v>0</v>
      </c>
      <c r="I71" s="95">
        <f t="shared" si="69"/>
        <v>2</v>
      </c>
      <c r="J71" s="91"/>
      <c r="K71" s="256">
        <f t="shared" si="70"/>
        <v>2</v>
      </c>
      <c r="L71" s="257" t="s">
        <v>678</v>
      </c>
      <c r="M71" s="154"/>
      <c r="N71" s="155">
        <v>0</v>
      </c>
      <c r="O71" s="158" t="str">
        <f t="shared" si="71"/>
        <v>N/A or not found_x000D__x000D_</v>
      </c>
      <c r="P71" s="144" t="str">
        <f>CONCATENATE(V71,R71,X71)</f>
        <v>N/A or not found_x000D__x000D_</v>
      </c>
      <c r="Q71" s="360" t="s">
        <v>925</v>
      </c>
      <c r="R71" s="64" t="s">
        <v>918</v>
      </c>
      <c r="S71" s="432"/>
      <c r="T71" s="300" t="s">
        <v>850</v>
      </c>
      <c r="U71" s="300" t="s">
        <v>1090</v>
      </c>
      <c r="V71" s="300" t="s">
        <v>925</v>
      </c>
      <c r="W71" s="258"/>
      <c r="X71" s="306" t="s">
        <v>834</v>
      </c>
      <c r="Y71" s="295"/>
      <c r="Z71" s="426" t="s">
        <v>224</v>
      </c>
      <c r="AA71" s="320">
        <f t="shared" si="64"/>
        <v>1</v>
      </c>
      <c r="AB71" s="320">
        <f t="shared" si="72"/>
        <v>0</v>
      </c>
      <c r="AC71" s="320">
        <f t="shared" si="73"/>
        <v>1</v>
      </c>
      <c r="AD71" s="320">
        <f t="shared" si="74"/>
        <v>0</v>
      </c>
      <c r="AE71" s="320">
        <f t="shared" ref="AE71:AE134" si="111">IF(ISNUMBER(SEARCH("3",$Z71)),1,0)</f>
        <v>1</v>
      </c>
      <c r="AF71" s="320">
        <f t="shared" si="75"/>
        <v>0</v>
      </c>
      <c r="AG71" s="320">
        <f t="shared" si="63"/>
        <v>0</v>
      </c>
      <c r="AH71" s="427" t="s">
        <v>832</v>
      </c>
      <c r="AI71" s="320">
        <f t="shared" si="76"/>
        <v>1</v>
      </c>
      <c r="AJ71" s="320">
        <f t="shared" si="77"/>
        <v>1</v>
      </c>
      <c r="AK71" s="320">
        <f t="shared" si="78"/>
        <v>1</v>
      </c>
      <c r="AL71" s="320">
        <f t="shared" si="79"/>
        <v>0</v>
      </c>
      <c r="AM71" s="320">
        <f t="shared" si="80"/>
        <v>0</v>
      </c>
      <c r="AN71" s="320">
        <f t="shared" si="81"/>
        <v>0</v>
      </c>
      <c r="AO71" s="427">
        <v>0</v>
      </c>
      <c r="AP71" s="320">
        <f t="shared" ref="AP71:AP134" si="112">IF(ISNUMBER(SEARCH("1",$AO71)),1,0)</f>
        <v>0</v>
      </c>
      <c r="AQ71" s="320">
        <f t="shared" si="82"/>
        <v>0</v>
      </c>
      <c r="AR71" s="320">
        <f t="shared" si="83"/>
        <v>0</v>
      </c>
      <c r="AS71" s="320">
        <f t="shared" si="84"/>
        <v>0</v>
      </c>
      <c r="AT71" s="320">
        <f t="shared" si="85"/>
        <v>0</v>
      </c>
      <c r="AU71" s="320">
        <f t="shared" si="86"/>
        <v>0</v>
      </c>
      <c r="AV71" s="427" t="s">
        <v>318</v>
      </c>
      <c r="AW71" s="320">
        <f t="shared" si="87"/>
        <v>0</v>
      </c>
      <c r="AX71" s="320">
        <f t="shared" si="88"/>
        <v>1</v>
      </c>
      <c r="AY71" s="320">
        <f t="shared" si="89"/>
        <v>1</v>
      </c>
      <c r="AZ71" s="320">
        <f t="shared" si="90"/>
        <v>0</v>
      </c>
      <c r="BA71" s="17">
        <v>1</v>
      </c>
      <c r="BB71" s="17" t="s">
        <v>850</v>
      </c>
      <c r="BC71" s="17">
        <v>0</v>
      </c>
      <c r="BD71" s="17">
        <v>0</v>
      </c>
      <c r="BE71" s="17">
        <v>0</v>
      </c>
      <c r="BF71" s="17">
        <v>0</v>
      </c>
      <c r="BG71" s="428">
        <f t="shared" si="65"/>
        <v>0</v>
      </c>
      <c r="BH71" s="17">
        <v>1</v>
      </c>
      <c r="BI71" s="17">
        <v>1</v>
      </c>
      <c r="BJ71" s="17" t="s">
        <v>1090</v>
      </c>
      <c r="BK71" s="17">
        <v>0</v>
      </c>
      <c r="BL71" s="17">
        <v>1</v>
      </c>
      <c r="BM71" s="17" t="s">
        <v>1244</v>
      </c>
      <c r="BN71" s="320">
        <f t="shared" si="66"/>
        <v>1</v>
      </c>
      <c r="BO71" s="320">
        <f t="shared" si="91"/>
        <v>0</v>
      </c>
      <c r="BP71" s="427">
        <v>0</v>
      </c>
      <c r="BQ71" s="427" t="s">
        <v>1251</v>
      </c>
      <c r="BR71" s="320">
        <f t="shared" ref="BR71:BS102" si="113">IF(ISNUMBER(SEARCH("1",$BP71)),1,0)</f>
        <v>0</v>
      </c>
      <c r="BS71" s="320">
        <f t="shared" si="67"/>
        <v>0</v>
      </c>
      <c r="BT71" s="427" t="s">
        <v>221</v>
      </c>
      <c r="BU71" s="320">
        <f t="shared" si="92"/>
        <v>1</v>
      </c>
      <c r="BV71" s="320">
        <f t="shared" si="93"/>
        <v>0</v>
      </c>
      <c r="BW71" s="320">
        <f t="shared" ref="BW71:BW134" si="114">IF(ISNUMBER(SEARCH("t",$BT71)),1,0)</f>
        <v>0</v>
      </c>
      <c r="BX71" s="427">
        <v>1</v>
      </c>
      <c r="BY71" s="320">
        <f t="shared" si="94"/>
        <v>1</v>
      </c>
      <c r="BZ71" s="320">
        <f t="shared" si="95"/>
        <v>0</v>
      </c>
      <c r="CA71" s="320">
        <f t="shared" si="96"/>
        <v>0</v>
      </c>
      <c r="CB71" s="320">
        <f t="shared" si="97"/>
        <v>0</v>
      </c>
      <c r="CC71" s="427">
        <v>0</v>
      </c>
      <c r="CD71" s="320">
        <f t="shared" si="98"/>
        <v>0</v>
      </c>
      <c r="CE71" s="320">
        <f t="shared" si="99"/>
        <v>0</v>
      </c>
      <c r="CF71" s="320">
        <f t="shared" si="100"/>
        <v>0</v>
      </c>
      <c r="CG71" s="320">
        <f t="shared" si="101"/>
        <v>0</v>
      </c>
      <c r="CH71" s="427">
        <v>0</v>
      </c>
      <c r="CI71" s="427">
        <v>0</v>
      </c>
      <c r="CJ71" s="427">
        <v>0</v>
      </c>
      <c r="CK71" s="427">
        <v>0</v>
      </c>
      <c r="CL71" s="320">
        <f t="shared" si="53"/>
        <v>0</v>
      </c>
      <c r="CM71" s="320">
        <f t="shared" si="102"/>
        <v>0</v>
      </c>
      <c r="CN71" s="320">
        <f t="shared" si="103"/>
        <v>0</v>
      </c>
      <c r="CO71" s="320">
        <f t="shared" si="104"/>
        <v>0</v>
      </c>
      <c r="CP71" s="427">
        <v>0</v>
      </c>
      <c r="CQ71" s="427">
        <v>2</v>
      </c>
      <c r="CR71" s="320">
        <f t="shared" si="105"/>
        <v>0</v>
      </c>
      <c r="CS71" s="320">
        <f t="shared" ref="CS71:CS134" si="115">IF(ISNUMBER(SEARCH("1s",$CQ71)),1,0)</f>
        <v>0</v>
      </c>
      <c r="CT71" s="320">
        <f t="shared" si="58"/>
        <v>1</v>
      </c>
      <c r="CU71" s="320">
        <f t="shared" si="59"/>
        <v>0</v>
      </c>
      <c r="CV71" s="427">
        <v>0</v>
      </c>
      <c r="CW71" s="17">
        <v>4</v>
      </c>
      <c r="CX71" s="320">
        <f t="shared" si="106"/>
        <v>0</v>
      </c>
      <c r="CY71" s="320">
        <f t="shared" si="107"/>
        <v>0</v>
      </c>
      <c r="CZ71" s="320">
        <f t="shared" si="108"/>
        <v>0</v>
      </c>
      <c r="DA71" s="17">
        <v>0</v>
      </c>
      <c r="DB71" s="17">
        <v>0</v>
      </c>
      <c r="DC71" s="17">
        <v>0</v>
      </c>
      <c r="DD71" s="31"/>
      <c r="DE71" s="346" t="s">
        <v>388</v>
      </c>
      <c r="DF71" s="346" t="s">
        <v>388</v>
      </c>
      <c r="DG71" s="346" t="s">
        <v>388</v>
      </c>
      <c r="DH71" s="346" t="s">
        <v>388</v>
      </c>
      <c r="DI71" s="346" t="s">
        <v>388</v>
      </c>
      <c r="DJ71" s="346" t="s">
        <v>388</v>
      </c>
      <c r="DK71" s="354" t="s">
        <v>1110</v>
      </c>
      <c r="DL71" s="346" t="s">
        <v>388</v>
      </c>
      <c r="DM71" s="346" t="s">
        <v>388</v>
      </c>
      <c r="DN71" s="346" t="s">
        <v>388</v>
      </c>
      <c r="DO71" s="346" t="s">
        <v>388</v>
      </c>
      <c r="DP71" s="348">
        <v>1</v>
      </c>
      <c r="DQ71" s="384"/>
      <c r="DR71" s="239">
        <f>SUM(DS71:DX71)/6</f>
        <v>0.21398953301127213</v>
      </c>
      <c r="DS71" s="429">
        <f t="shared" si="109"/>
        <v>0.34782608695652173</v>
      </c>
      <c r="DT71" s="429">
        <f>SUM(BA71:BE71,BG71)/5</f>
        <v>0.2</v>
      </c>
      <c r="DU71" s="429">
        <f>SUM(BI71,BO71,BS71,BU71:BW71)/6</f>
        <v>0.33333333333333331</v>
      </c>
      <c r="DV71" s="429">
        <f>SUM(BY71-CB71,CD71-CG71)/8</f>
        <v>0.125</v>
      </c>
      <c r="DW71" s="429">
        <f>SUM(CH71:CJ71,CL71:CO71,BN71,BR71)/9</f>
        <v>0.1111111111111111</v>
      </c>
      <c r="DX71" s="429">
        <f>SUM(CP71,CR71:CV71)/6</f>
        <v>0.16666666666666666</v>
      </c>
      <c r="DY71" s="456"/>
      <c r="DZ71" s="135"/>
      <c r="EA71" s="135"/>
      <c r="EB71" s="135"/>
      <c r="EC71" s="135"/>
      <c r="ED71" s="135"/>
      <c r="EH71" s="46"/>
      <c r="EI71" s="45"/>
      <c r="EJ71" s="33" t="e">
        <f t="shared" si="110"/>
        <v>#VALUE!</v>
      </c>
      <c r="EK71" s="439"/>
      <c r="EL71" s="439"/>
      <c r="EM71" s="439"/>
      <c r="EN71" s="439"/>
      <c r="EO71" s="439"/>
      <c r="EP71" s="439"/>
      <c r="EQ71" s="47"/>
      <c r="ER71" s="65"/>
      <c r="ES71" s="66"/>
      <c r="ET71" s="67"/>
      <c r="EU71" s="430"/>
      <c r="EV71" s="462"/>
      <c r="EZ71" s="393" t="s">
        <v>94</v>
      </c>
      <c r="FA71" s="393" t="s">
        <v>94</v>
      </c>
      <c r="FB71" s="389">
        <v>14436</v>
      </c>
      <c r="FC71" s="389">
        <v>15289</v>
      </c>
      <c r="FD71" s="389">
        <v>15861</v>
      </c>
      <c r="FE71" s="389">
        <v>16424</v>
      </c>
      <c r="FF71" s="389">
        <v>16989</v>
      </c>
      <c r="FG71" s="390">
        <v>7.4825037608738307E-3</v>
      </c>
      <c r="FH71" s="390">
        <v>7.0991740747746047E-3</v>
      </c>
      <c r="FI71" s="390">
        <v>6.8801753531417429E-3</v>
      </c>
      <c r="FJ71" s="391" t="s">
        <v>1389</v>
      </c>
      <c r="FK71" s="391">
        <v>-3.0848478897147601E-2</v>
      </c>
      <c r="FL71" s="31" t="s">
        <v>1394</v>
      </c>
      <c r="FN71" s="215" t="s">
        <v>1520</v>
      </c>
      <c r="FO71" s="215" t="s">
        <v>1521</v>
      </c>
      <c r="FP71" s="215" t="s">
        <v>1346</v>
      </c>
      <c r="FR71" s="402">
        <v>1</v>
      </c>
      <c r="FS71" s="402">
        <v>1</v>
      </c>
      <c r="FT71" s="402">
        <v>1</v>
      </c>
      <c r="FU71" s="402">
        <v>1</v>
      </c>
    </row>
    <row r="72" spans="1:177" ht="22" hidden="1" customHeight="1" x14ac:dyDescent="0.2">
      <c r="A72" s="13" t="s">
        <v>10</v>
      </c>
      <c r="B72" s="14" t="s">
        <v>14</v>
      </c>
      <c r="C72" s="14"/>
      <c r="D72" s="14"/>
      <c r="E72" s="128" t="s">
        <v>95</v>
      </c>
      <c r="F72" s="15"/>
      <c r="G72" s="15" t="s">
        <v>634</v>
      </c>
      <c r="H72" s="91">
        <f t="shared" si="68"/>
        <v>1</v>
      </c>
      <c r="I72" s="95">
        <f t="shared" si="69"/>
        <v>0</v>
      </c>
      <c r="J72" s="91"/>
      <c r="K72" s="256">
        <f t="shared" si="70"/>
        <v>1</v>
      </c>
      <c r="L72" s="101">
        <v>0</v>
      </c>
      <c r="M72" s="99"/>
      <c r="N72" s="89"/>
      <c r="O72" s="98" t="str">
        <f t="shared" si="71"/>
        <v>_x000D__x000D_</v>
      </c>
      <c r="P72" s="144"/>
      <c r="Q72" s="55"/>
      <c r="R72" s="64" t="s">
        <v>918</v>
      </c>
      <c r="S72" s="425"/>
      <c r="T72" s="300" t="s">
        <v>834</v>
      </c>
      <c r="U72" s="300" t="s">
        <v>834</v>
      </c>
      <c r="V72" s="300" t="s">
        <v>834</v>
      </c>
      <c r="W72" s="258"/>
      <c r="X72" s="307" t="s">
        <v>834</v>
      </c>
      <c r="Y72" s="274"/>
      <c r="Z72" s="426"/>
      <c r="AA72" s="320">
        <f t="shared" si="64"/>
        <v>0</v>
      </c>
      <c r="AB72" s="320">
        <f t="shared" si="72"/>
        <v>0</v>
      </c>
      <c r="AC72" s="320">
        <f t="shared" si="73"/>
        <v>0</v>
      </c>
      <c r="AD72" s="320">
        <f t="shared" si="74"/>
        <v>0</v>
      </c>
      <c r="AE72" s="320">
        <f t="shared" si="111"/>
        <v>0</v>
      </c>
      <c r="AF72" s="320">
        <f t="shared" si="75"/>
        <v>0</v>
      </c>
      <c r="AG72" s="320">
        <f t="shared" si="63"/>
        <v>0</v>
      </c>
      <c r="AH72" s="427"/>
      <c r="AI72" s="320">
        <f t="shared" si="76"/>
        <v>0</v>
      </c>
      <c r="AJ72" s="320">
        <f t="shared" si="77"/>
        <v>0</v>
      </c>
      <c r="AK72" s="320">
        <f t="shared" si="78"/>
        <v>0</v>
      </c>
      <c r="AL72" s="320">
        <f t="shared" si="79"/>
        <v>0</v>
      </c>
      <c r="AM72" s="320">
        <f t="shared" si="80"/>
        <v>0</v>
      </c>
      <c r="AN72" s="320">
        <f t="shared" si="81"/>
        <v>0</v>
      </c>
      <c r="AO72" s="427"/>
      <c r="AP72" s="320">
        <f t="shared" si="112"/>
        <v>0</v>
      </c>
      <c r="AQ72" s="320">
        <f t="shared" si="82"/>
        <v>0</v>
      </c>
      <c r="AR72" s="320">
        <f t="shared" si="83"/>
        <v>0</v>
      </c>
      <c r="AS72" s="320">
        <f t="shared" si="84"/>
        <v>0</v>
      </c>
      <c r="AT72" s="320">
        <f t="shared" si="85"/>
        <v>0</v>
      </c>
      <c r="AU72" s="320">
        <f t="shared" si="86"/>
        <v>0</v>
      </c>
      <c r="AV72" s="427"/>
      <c r="AW72" s="320">
        <f t="shared" si="87"/>
        <v>0</v>
      </c>
      <c r="AX72" s="320">
        <f t="shared" si="88"/>
        <v>0</v>
      </c>
      <c r="AY72" s="320">
        <f t="shared" si="89"/>
        <v>0</v>
      </c>
      <c r="AZ72" s="320">
        <f t="shared" si="90"/>
        <v>0</v>
      </c>
      <c r="BA72" s="17"/>
      <c r="BB72" s="17" t="s">
        <v>834</v>
      </c>
      <c r="BC72" s="17"/>
      <c r="BD72" s="17"/>
      <c r="BE72" s="17"/>
      <c r="BF72" s="17"/>
      <c r="BG72" s="428">
        <f t="shared" si="65"/>
        <v>0</v>
      </c>
      <c r="BH72" s="17"/>
      <c r="BI72" s="17"/>
      <c r="BJ72" s="17"/>
      <c r="BK72" s="17"/>
      <c r="BL72" s="17"/>
      <c r="BM72" s="17"/>
      <c r="BN72" s="320">
        <f t="shared" si="66"/>
        <v>0</v>
      </c>
      <c r="BO72" s="320">
        <f t="shared" si="91"/>
        <v>0</v>
      </c>
      <c r="BP72" s="427"/>
      <c r="BQ72" s="427"/>
      <c r="BR72" s="320">
        <f t="shared" si="113"/>
        <v>0</v>
      </c>
      <c r="BS72" s="320">
        <f t="shared" si="67"/>
        <v>0</v>
      </c>
      <c r="BT72" s="427"/>
      <c r="BU72" s="320">
        <f t="shared" si="92"/>
        <v>0</v>
      </c>
      <c r="BV72" s="320">
        <f t="shared" si="93"/>
        <v>0</v>
      </c>
      <c r="BW72" s="320">
        <f t="shared" si="114"/>
        <v>0</v>
      </c>
      <c r="BX72" s="427"/>
      <c r="BY72" s="320">
        <f t="shared" si="94"/>
        <v>0</v>
      </c>
      <c r="BZ72" s="320">
        <f t="shared" si="95"/>
        <v>0</v>
      </c>
      <c r="CA72" s="320">
        <f t="shared" si="96"/>
        <v>0</v>
      </c>
      <c r="CB72" s="320">
        <f t="shared" si="97"/>
        <v>0</v>
      </c>
      <c r="CC72" s="427"/>
      <c r="CD72" s="320">
        <f t="shared" si="98"/>
        <v>0</v>
      </c>
      <c r="CE72" s="320">
        <f t="shared" si="99"/>
        <v>0</v>
      </c>
      <c r="CF72" s="320">
        <f t="shared" si="100"/>
        <v>0</v>
      </c>
      <c r="CG72" s="320">
        <f t="shared" si="101"/>
        <v>0</v>
      </c>
      <c r="CH72" s="427"/>
      <c r="CI72" s="427"/>
      <c r="CJ72" s="427"/>
      <c r="CK72" s="427"/>
      <c r="CL72" s="320">
        <f t="shared" ref="CL72:CL135" si="116">IF(ISNUMBER(SEARCH("1",$CK72)),1,0)</f>
        <v>0</v>
      </c>
      <c r="CM72" s="320">
        <f t="shared" si="102"/>
        <v>0</v>
      </c>
      <c r="CN72" s="320">
        <f t="shared" si="103"/>
        <v>0</v>
      </c>
      <c r="CO72" s="320">
        <f t="shared" si="104"/>
        <v>0</v>
      </c>
      <c r="CP72" s="427"/>
      <c r="CQ72" s="427"/>
      <c r="CR72" s="320">
        <f t="shared" si="105"/>
        <v>0</v>
      </c>
      <c r="CS72" s="320">
        <f t="shared" si="115"/>
        <v>0</v>
      </c>
      <c r="CT72" s="320">
        <f t="shared" si="58"/>
        <v>0</v>
      </c>
      <c r="CU72" s="320">
        <f t="shared" si="59"/>
        <v>0</v>
      </c>
      <c r="CV72" s="427"/>
      <c r="CW72" s="17"/>
      <c r="CX72" s="320">
        <f t="shared" si="106"/>
        <v>0</v>
      </c>
      <c r="CY72" s="320">
        <f t="shared" si="107"/>
        <v>0</v>
      </c>
      <c r="CZ72" s="320">
        <f t="shared" si="108"/>
        <v>0</v>
      </c>
      <c r="DA72" s="17"/>
      <c r="DB72" s="17"/>
      <c r="DC72" s="17"/>
      <c r="DD72" s="31"/>
      <c r="DE72" s="321"/>
      <c r="DF72" s="321"/>
      <c r="DG72" s="321"/>
      <c r="DH72" s="321"/>
      <c r="DI72" s="321"/>
      <c r="DJ72" s="321"/>
      <c r="DK72" s="321"/>
      <c r="DL72" s="321"/>
      <c r="DM72" s="321"/>
      <c r="DN72" s="321"/>
      <c r="DO72" s="321"/>
      <c r="DP72" s="322"/>
      <c r="DQ72" s="288"/>
      <c r="DR72" s="241"/>
      <c r="DS72" s="429">
        <f t="shared" si="109"/>
        <v>0</v>
      </c>
      <c r="DT72" s="429"/>
      <c r="DU72" s="429"/>
      <c r="DV72" s="429"/>
      <c r="DW72" s="429"/>
      <c r="DX72" s="429"/>
      <c r="DY72" s="429"/>
      <c r="DZ72" s="134"/>
      <c r="EA72" s="134"/>
      <c r="EB72" s="134"/>
      <c r="EC72" s="134"/>
      <c r="ED72" s="123"/>
      <c r="EH72" s="44">
        <v>0</v>
      </c>
      <c r="EI72" s="45"/>
      <c r="EJ72" s="33" t="b">
        <f t="shared" si="110"/>
        <v>0</v>
      </c>
      <c r="EK72" s="439"/>
      <c r="EL72" s="439"/>
      <c r="EM72" s="439"/>
      <c r="EN72" s="439"/>
      <c r="EO72" s="439"/>
      <c r="EP72" s="439"/>
      <c r="EQ72" s="38"/>
      <c r="ER72" s="58"/>
      <c r="ES72" s="68"/>
      <c r="ET72" s="43"/>
      <c r="EU72" s="430"/>
      <c r="EV72" s="462"/>
      <c r="EZ72" s="393" t="s">
        <v>95</v>
      </c>
      <c r="FA72" s="393" t="s">
        <v>95</v>
      </c>
      <c r="FB72" s="389">
        <v>22000</v>
      </c>
      <c r="FC72" s="389">
        <v>22000</v>
      </c>
      <c r="FD72" s="389">
        <v>22000</v>
      </c>
      <c r="FE72" s="389">
        <v>22000</v>
      </c>
      <c r="FF72" s="389">
        <v>23000</v>
      </c>
      <c r="FG72" s="390">
        <v>0</v>
      </c>
      <c r="FH72" s="390">
        <v>0</v>
      </c>
      <c r="FI72" s="390">
        <v>9.0909090909090905E-3</v>
      </c>
      <c r="FJ72" s="391">
        <v>0</v>
      </c>
      <c r="FK72" s="391" t="s">
        <v>1386</v>
      </c>
      <c r="FL72" s="31" t="s">
        <v>1387</v>
      </c>
      <c r="FN72" s="128" t="s">
        <v>1522</v>
      </c>
      <c r="FO72" s="128" t="s">
        <v>1523</v>
      </c>
      <c r="FP72" s="128"/>
    </row>
    <row r="73" spans="1:177" ht="22" hidden="1" customHeight="1" x14ac:dyDescent="0.2">
      <c r="A73" s="13" t="s">
        <v>10</v>
      </c>
      <c r="B73" s="14" t="s">
        <v>39</v>
      </c>
      <c r="C73" s="14"/>
      <c r="D73" s="14" t="s">
        <v>1068</v>
      </c>
      <c r="E73" s="128" t="s">
        <v>96</v>
      </c>
      <c r="F73" s="15" t="s">
        <v>639</v>
      </c>
      <c r="G73" s="15" t="s">
        <v>635</v>
      </c>
      <c r="H73" s="91">
        <v>0</v>
      </c>
      <c r="I73" s="95">
        <f t="shared" si="69"/>
        <v>0</v>
      </c>
      <c r="J73" s="91"/>
      <c r="K73" s="256">
        <f t="shared" si="70"/>
        <v>0</v>
      </c>
      <c r="L73" s="101">
        <v>0</v>
      </c>
      <c r="M73" s="99"/>
      <c r="N73" s="89"/>
      <c r="O73" s="98" t="str">
        <f t="shared" si="71"/>
        <v>_x000D__x000D_Plant trees on communal lands to increase forest coverage._x000D_(reduction in Gg Co2 in 2025 = 275.2)</v>
      </c>
      <c r="P73" s="144" t="str">
        <f>CONCATENATE(V73,R73,X73)</f>
        <v>Reductions in the Agricultural Sector:_x000D_Under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2030_x000D__x000D_Climate Change Adaptation through large scale ecosystem restoration of the River Gambia Watershed by:_x000D_a) Improving disaster preparedness and decrease the effect of disasters at seven hotspots identified under the 2012 study by the National Disaster Management Agency;_x000D_b) Promoting access to community markets by improving climate resilience of infrastructure and transport through the rehabilitation and development of critical road and transport infrastructure;_x000D_c) Establishing food processing and preservation plants close to communities and markets;_x000D_d)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schemes._x000D__x000D_Adapting the Agriculture System to Climate Change in The Gambia will strengthen diversified and sustainable livelihood strategies for reducing the impacts of climate variability and change in agriculture and livestock sectors of The Gambia</v>
      </c>
      <c r="Q73" s="55"/>
      <c r="R73" s="64" t="s">
        <v>918</v>
      </c>
      <c r="S73" s="425" t="s">
        <v>964</v>
      </c>
      <c r="T73" s="300" t="s">
        <v>835</v>
      </c>
      <c r="U73" s="300" t="s">
        <v>888</v>
      </c>
      <c r="V73" s="300" t="s">
        <v>963</v>
      </c>
      <c r="W73" s="258">
        <v>0</v>
      </c>
      <c r="X73" s="307" t="s">
        <v>971</v>
      </c>
      <c r="Y73" s="297"/>
      <c r="Z73" s="426" t="s">
        <v>221</v>
      </c>
      <c r="AA73" s="320">
        <f t="shared" si="64"/>
        <v>1</v>
      </c>
      <c r="AB73" s="320">
        <f t="shared" si="72"/>
        <v>1</v>
      </c>
      <c r="AC73" s="320">
        <f t="shared" si="73"/>
        <v>0</v>
      </c>
      <c r="AD73" s="320">
        <f t="shared" si="74"/>
        <v>0</v>
      </c>
      <c r="AE73" s="320">
        <f t="shared" si="111"/>
        <v>0</v>
      </c>
      <c r="AF73" s="320">
        <f t="shared" si="75"/>
        <v>0</v>
      </c>
      <c r="AG73" s="320">
        <f t="shared" si="63"/>
        <v>1</v>
      </c>
      <c r="AH73" s="427">
        <v>1</v>
      </c>
      <c r="AI73" s="320">
        <f t="shared" si="76"/>
        <v>1</v>
      </c>
      <c r="AJ73" s="320">
        <f t="shared" si="77"/>
        <v>0</v>
      </c>
      <c r="AK73" s="320">
        <f t="shared" si="78"/>
        <v>0</v>
      </c>
      <c r="AL73" s="320">
        <f t="shared" si="79"/>
        <v>0</v>
      </c>
      <c r="AM73" s="320">
        <f t="shared" si="80"/>
        <v>0</v>
      </c>
      <c r="AN73" s="320">
        <f t="shared" si="81"/>
        <v>0</v>
      </c>
      <c r="AO73" s="427">
        <v>0</v>
      </c>
      <c r="AP73" s="320">
        <f t="shared" si="112"/>
        <v>0</v>
      </c>
      <c r="AQ73" s="320">
        <f t="shared" si="82"/>
        <v>0</v>
      </c>
      <c r="AR73" s="320">
        <f t="shared" si="83"/>
        <v>0</v>
      </c>
      <c r="AS73" s="320">
        <f t="shared" si="84"/>
        <v>0</v>
      </c>
      <c r="AT73" s="320">
        <f t="shared" si="85"/>
        <v>0</v>
      </c>
      <c r="AU73" s="320">
        <f t="shared" si="86"/>
        <v>0</v>
      </c>
      <c r="AV73" s="427">
        <v>1</v>
      </c>
      <c r="AW73" s="320">
        <f t="shared" si="87"/>
        <v>1</v>
      </c>
      <c r="AX73" s="320">
        <f t="shared" si="88"/>
        <v>0</v>
      </c>
      <c r="AY73" s="320">
        <f t="shared" si="89"/>
        <v>0</v>
      </c>
      <c r="AZ73" s="320">
        <f t="shared" si="90"/>
        <v>0</v>
      </c>
      <c r="BA73" s="17">
        <v>1</v>
      </c>
      <c r="BB73" s="17" t="s">
        <v>835</v>
      </c>
      <c r="BC73" s="17">
        <v>1</v>
      </c>
      <c r="BD73" s="17">
        <v>1</v>
      </c>
      <c r="BE73" s="17">
        <v>0</v>
      </c>
      <c r="BF73" s="17" t="s">
        <v>315</v>
      </c>
      <c r="BG73" s="428">
        <f t="shared" si="65"/>
        <v>1</v>
      </c>
      <c r="BH73" s="17">
        <v>1</v>
      </c>
      <c r="BI73" s="17">
        <v>1</v>
      </c>
      <c r="BJ73" s="17" t="s">
        <v>888</v>
      </c>
      <c r="BK73" s="17"/>
      <c r="BL73" s="17">
        <v>0</v>
      </c>
      <c r="BM73" s="17" t="s">
        <v>834</v>
      </c>
      <c r="BN73" s="320">
        <f t="shared" si="66"/>
        <v>0</v>
      </c>
      <c r="BO73" s="320">
        <f t="shared" si="91"/>
        <v>0</v>
      </c>
      <c r="BP73" s="427">
        <v>1</v>
      </c>
      <c r="BQ73" s="427" t="s">
        <v>1156</v>
      </c>
      <c r="BR73" s="320">
        <f t="shared" si="113"/>
        <v>1</v>
      </c>
      <c r="BS73" s="320">
        <v>0</v>
      </c>
      <c r="BT73" s="427">
        <v>0</v>
      </c>
      <c r="BU73" s="320">
        <f t="shared" si="92"/>
        <v>0</v>
      </c>
      <c r="BV73" s="320">
        <f t="shared" si="93"/>
        <v>0</v>
      </c>
      <c r="BW73" s="320">
        <f t="shared" si="114"/>
        <v>0</v>
      </c>
      <c r="BX73" s="427">
        <v>1</v>
      </c>
      <c r="BY73" s="320">
        <f t="shared" si="94"/>
        <v>1</v>
      </c>
      <c r="BZ73" s="320">
        <f t="shared" si="95"/>
        <v>0</v>
      </c>
      <c r="CA73" s="320">
        <f t="shared" si="96"/>
        <v>0</v>
      </c>
      <c r="CB73" s="320">
        <f t="shared" si="97"/>
        <v>0</v>
      </c>
      <c r="CC73" s="427">
        <v>0</v>
      </c>
      <c r="CD73" s="320">
        <f t="shared" si="98"/>
        <v>0</v>
      </c>
      <c r="CE73" s="320">
        <f t="shared" si="99"/>
        <v>0</v>
      </c>
      <c r="CF73" s="320">
        <f t="shared" si="100"/>
        <v>0</v>
      </c>
      <c r="CG73" s="320">
        <f t="shared" si="101"/>
        <v>0</v>
      </c>
      <c r="CH73" s="427">
        <v>1</v>
      </c>
      <c r="CI73" s="427">
        <v>0</v>
      </c>
      <c r="CJ73" s="427">
        <v>0</v>
      </c>
      <c r="CK73" s="427">
        <v>0</v>
      </c>
      <c r="CL73" s="320">
        <f t="shared" si="116"/>
        <v>0</v>
      </c>
      <c r="CM73" s="320">
        <f t="shared" si="102"/>
        <v>0</v>
      </c>
      <c r="CN73" s="320">
        <f t="shared" si="103"/>
        <v>0</v>
      </c>
      <c r="CO73" s="320">
        <f t="shared" si="104"/>
        <v>0</v>
      </c>
      <c r="CP73" s="427">
        <v>1</v>
      </c>
      <c r="CQ73" s="427" t="s">
        <v>317</v>
      </c>
      <c r="CR73" s="320">
        <f t="shared" si="105"/>
        <v>1</v>
      </c>
      <c r="CS73" s="320">
        <f t="shared" si="115"/>
        <v>0</v>
      </c>
      <c r="CT73" s="320">
        <f t="shared" si="58"/>
        <v>1</v>
      </c>
      <c r="CU73" s="320">
        <f t="shared" si="59"/>
        <v>0</v>
      </c>
      <c r="CV73" s="427">
        <v>1</v>
      </c>
      <c r="CW73" s="17">
        <v>1</v>
      </c>
      <c r="CX73" s="320">
        <f t="shared" si="106"/>
        <v>1</v>
      </c>
      <c r="CY73" s="320">
        <f t="shared" si="107"/>
        <v>0</v>
      </c>
      <c r="CZ73" s="320">
        <f t="shared" si="108"/>
        <v>0</v>
      </c>
      <c r="DA73" s="17"/>
      <c r="DB73" s="17"/>
      <c r="DC73" s="17"/>
      <c r="DD73" s="31"/>
      <c r="DE73" s="323" t="s">
        <v>387</v>
      </c>
      <c r="DF73" s="323" t="s">
        <v>387</v>
      </c>
      <c r="DG73" s="323" t="s">
        <v>821</v>
      </c>
      <c r="DH73" s="323" t="s">
        <v>387</v>
      </c>
      <c r="DI73" s="323"/>
      <c r="DJ73" s="323" t="s">
        <v>387</v>
      </c>
      <c r="DK73" s="323">
        <v>1</v>
      </c>
      <c r="DL73" s="323">
        <v>1</v>
      </c>
      <c r="DM73" s="323">
        <v>1</v>
      </c>
      <c r="DN73" s="323" t="s">
        <v>387</v>
      </c>
      <c r="DO73" s="323">
        <v>1</v>
      </c>
      <c r="DP73" s="324">
        <v>0</v>
      </c>
      <c r="DQ73" s="291"/>
      <c r="DR73" s="239">
        <f>SUM(DS73:DX73)/6</f>
        <v>0.36632447665056361</v>
      </c>
      <c r="DS73" s="429">
        <f t="shared" si="109"/>
        <v>0.21739130434782608</v>
      </c>
      <c r="DT73" s="448">
        <f>SUM(BA73:BE73,BG73)/5</f>
        <v>0.8</v>
      </c>
      <c r="DU73" s="429">
        <f>SUM(BI73,BO73,BS73,BU73:BW73)/6</f>
        <v>0.16666666666666666</v>
      </c>
      <c r="DV73" s="429">
        <f>SUM(BY73-CB73,CD73-CG73)/8</f>
        <v>0.125</v>
      </c>
      <c r="DW73" s="429">
        <f>SUM(CH73:CJ73,CL73:CO73,BN73,BR73)/9</f>
        <v>0.22222222222222221</v>
      </c>
      <c r="DX73" s="429">
        <f>SUM(CP73,CR73:CV73)/6</f>
        <v>0.66666666666666663</v>
      </c>
      <c r="DY73" s="429"/>
      <c r="DZ73" s="134"/>
      <c r="EA73" s="134"/>
      <c r="EB73" s="134"/>
      <c r="EC73" s="134"/>
      <c r="ED73" s="123"/>
      <c r="EH73" s="46">
        <v>0</v>
      </c>
      <c r="EI73" s="45"/>
      <c r="EJ73" s="33" t="b">
        <f t="shared" si="110"/>
        <v>0</v>
      </c>
      <c r="EK73" s="439"/>
      <c r="EL73" s="439"/>
      <c r="EM73" s="439"/>
      <c r="EN73" s="439"/>
      <c r="EO73" s="439"/>
      <c r="EP73" s="439"/>
      <c r="EQ73" s="47"/>
      <c r="ER73" s="58">
        <v>1</v>
      </c>
      <c r="ES73" s="66"/>
      <c r="ET73" s="43">
        <v>1</v>
      </c>
      <c r="EU73" s="430"/>
      <c r="EV73" s="462"/>
      <c r="EZ73" s="393" t="s">
        <v>96</v>
      </c>
      <c r="FA73" s="393" t="s">
        <v>96</v>
      </c>
      <c r="FB73" s="389">
        <v>442</v>
      </c>
      <c r="FC73" s="389">
        <v>461</v>
      </c>
      <c r="FD73" s="389">
        <v>471</v>
      </c>
      <c r="FE73" s="389">
        <v>480</v>
      </c>
      <c r="FF73" s="389">
        <v>488</v>
      </c>
      <c r="FG73" s="390">
        <v>4.3383947939262474E-3</v>
      </c>
      <c r="FH73" s="390">
        <v>3.821656050955414E-3</v>
      </c>
      <c r="FI73" s="390">
        <v>3.3333333333333331E-3</v>
      </c>
      <c r="FJ73" s="391" t="s">
        <v>1389</v>
      </c>
      <c r="FK73" s="391">
        <v>-0.12777777777777785</v>
      </c>
      <c r="FL73" s="31" t="s">
        <v>1394</v>
      </c>
      <c r="FN73" s="128" t="s">
        <v>1524</v>
      </c>
      <c r="FO73" s="128" t="s">
        <v>1525</v>
      </c>
      <c r="FP73" s="128"/>
    </row>
    <row r="74" spans="1:177" ht="22" hidden="1" customHeight="1" x14ac:dyDescent="0.2">
      <c r="A74" s="13" t="s">
        <v>4</v>
      </c>
      <c r="B74" s="14" t="s">
        <v>21</v>
      </c>
      <c r="C74" s="14"/>
      <c r="D74" s="14"/>
      <c r="E74" s="128" t="s">
        <v>97</v>
      </c>
      <c r="F74" s="15"/>
      <c r="G74" s="15" t="s">
        <v>635</v>
      </c>
      <c r="H74" s="91">
        <f>IF(G74="YES",0,1)</f>
        <v>0</v>
      </c>
      <c r="I74" s="95">
        <f t="shared" si="69"/>
        <v>0</v>
      </c>
      <c r="J74" s="91"/>
      <c r="K74" s="256">
        <f t="shared" si="70"/>
        <v>0</v>
      </c>
      <c r="L74" s="101">
        <v>0</v>
      </c>
      <c r="M74" s="99"/>
      <c r="N74" s="89"/>
      <c r="O74" s="98" t="str">
        <f t="shared" si="71"/>
        <v>_x000D__x000D_</v>
      </c>
      <c r="P74" s="144"/>
      <c r="Q74" s="55"/>
      <c r="R74" s="64" t="s">
        <v>918</v>
      </c>
      <c r="S74" s="425"/>
      <c r="T74" s="300" t="s">
        <v>882</v>
      </c>
      <c r="U74" s="300" t="s">
        <v>834</v>
      </c>
      <c r="V74" s="300" t="s">
        <v>834</v>
      </c>
      <c r="W74" s="258"/>
      <c r="X74" s="307" t="s">
        <v>834</v>
      </c>
      <c r="Y74" s="274"/>
      <c r="Z74" s="426"/>
      <c r="AA74" s="320">
        <f t="shared" si="64"/>
        <v>0</v>
      </c>
      <c r="AB74" s="320">
        <f t="shared" si="72"/>
        <v>0</v>
      </c>
      <c r="AC74" s="320">
        <f t="shared" si="73"/>
        <v>0</v>
      </c>
      <c r="AD74" s="320">
        <f t="shared" si="74"/>
        <v>0</v>
      </c>
      <c r="AE74" s="320">
        <f t="shared" si="111"/>
        <v>0</v>
      </c>
      <c r="AF74" s="320">
        <f t="shared" si="75"/>
        <v>0</v>
      </c>
      <c r="AG74" s="320">
        <f t="shared" si="63"/>
        <v>0</v>
      </c>
      <c r="AH74" s="427"/>
      <c r="AI74" s="320">
        <f t="shared" si="76"/>
        <v>0</v>
      </c>
      <c r="AJ74" s="320">
        <f t="shared" si="77"/>
        <v>0</v>
      </c>
      <c r="AK74" s="320">
        <f t="shared" si="78"/>
        <v>0</v>
      </c>
      <c r="AL74" s="320">
        <f t="shared" si="79"/>
        <v>0</v>
      </c>
      <c r="AM74" s="320">
        <f t="shared" si="80"/>
        <v>0</v>
      </c>
      <c r="AN74" s="320">
        <f t="shared" si="81"/>
        <v>0</v>
      </c>
      <c r="AO74" s="427"/>
      <c r="AP74" s="320">
        <f t="shared" si="112"/>
        <v>0</v>
      </c>
      <c r="AQ74" s="320">
        <f t="shared" si="82"/>
        <v>0</v>
      </c>
      <c r="AR74" s="320">
        <f t="shared" si="83"/>
        <v>0</v>
      </c>
      <c r="AS74" s="320">
        <f t="shared" si="84"/>
        <v>0</v>
      </c>
      <c r="AT74" s="320">
        <f t="shared" si="85"/>
        <v>0</v>
      </c>
      <c r="AU74" s="320">
        <f t="shared" si="86"/>
        <v>0</v>
      </c>
      <c r="AV74" s="427"/>
      <c r="AW74" s="320">
        <f t="shared" si="87"/>
        <v>0</v>
      </c>
      <c r="AX74" s="320">
        <f t="shared" si="88"/>
        <v>0</v>
      </c>
      <c r="AY74" s="320">
        <f t="shared" si="89"/>
        <v>0</v>
      </c>
      <c r="AZ74" s="320">
        <f t="shared" si="90"/>
        <v>0</v>
      </c>
      <c r="BA74" s="17">
        <v>1</v>
      </c>
      <c r="BB74" s="17" t="s">
        <v>882</v>
      </c>
      <c r="BC74" s="17"/>
      <c r="BD74" s="17"/>
      <c r="BE74" s="17"/>
      <c r="BF74" s="17"/>
      <c r="BG74" s="428">
        <f t="shared" si="65"/>
        <v>0</v>
      </c>
      <c r="BH74" s="17"/>
      <c r="BI74" s="17"/>
      <c r="BJ74" s="17"/>
      <c r="BK74" s="17"/>
      <c r="BL74" s="17"/>
      <c r="BM74" s="17"/>
      <c r="BN74" s="320">
        <f t="shared" si="66"/>
        <v>0</v>
      </c>
      <c r="BO74" s="320">
        <f t="shared" si="91"/>
        <v>0</v>
      </c>
      <c r="BP74" s="427"/>
      <c r="BQ74" s="427"/>
      <c r="BR74" s="320">
        <f t="shared" si="113"/>
        <v>0</v>
      </c>
      <c r="BS74" s="320">
        <f>IF(ISNUMBER(SEARCH("1",$BP74)),1,0)</f>
        <v>0</v>
      </c>
      <c r="BT74" s="427"/>
      <c r="BU74" s="320">
        <f t="shared" si="92"/>
        <v>0</v>
      </c>
      <c r="BV74" s="320">
        <f t="shared" si="93"/>
        <v>0</v>
      </c>
      <c r="BW74" s="320">
        <f t="shared" si="114"/>
        <v>0</v>
      </c>
      <c r="BX74" s="427"/>
      <c r="BY74" s="320">
        <f t="shared" si="94"/>
        <v>0</v>
      </c>
      <c r="BZ74" s="320">
        <f t="shared" si="95"/>
        <v>0</v>
      </c>
      <c r="CA74" s="320">
        <f t="shared" si="96"/>
        <v>0</v>
      </c>
      <c r="CB74" s="320">
        <f t="shared" si="97"/>
        <v>0</v>
      </c>
      <c r="CC74" s="427"/>
      <c r="CD74" s="320">
        <f t="shared" si="98"/>
        <v>0</v>
      </c>
      <c r="CE74" s="320">
        <f t="shared" si="99"/>
        <v>0</v>
      </c>
      <c r="CF74" s="320">
        <f t="shared" si="100"/>
        <v>0</v>
      </c>
      <c r="CG74" s="320">
        <f t="shared" si="101"/>
        <v>0</v>
      </c>
      <c r="CH74" s="427"/>
      <c r="CI74" s="427"/>
      <c r="CJ74" s="427"/>
      <c r="CK74" s="427"/>
      <c r="CL74" s="320">
        <f t="shared" si="116"/>
        <v>0</v>
      </c>
      <c r="CM74" s="320">
        <f t="shared" si="102"/>
        <v>0</v>
      </c>
      <c r="CN74" s="320">
        <f t="shared" si="103"/>
        <v>0</v>
      </c>
      <c r="CO74" s="320">
        <f t="shared" si="104"/>
        <v>0</v>
      </c>
      <c r="CP74" s="427"/>
      <c r="CQ74" s="427"/>
      <c r="CR74" s="320">
        <f t="shared" si="105"/>
        <v>0</v>
      </c>
      <c r="CS74" s="320">
        <f t="shared" si="115"/>
        <v>0</v>
      </c>
      <c r="CT74" s="320">
        <f t="shared" si="58"/>
        <v>0</v>
      </c>
      <c r="CU74" s="320">
        <f t="shared" si="59"/>
        <v>0</v>
      </c>
      <c r="CV74" s="427"/>
      <c r="CW74" s="17"/>
      <c r="CX74" s="320">
        <f t="shared" si="106"/>
        <v>0</v>
      </c>
      <c r="CY74" s="320">
        <f t="shared" si="107"/>
        <v>0</v>
      </c>
      <c r="CZ74" s="320">
        <f t="shared" si="108"/>
        <v>0</v>
      </c>
      <c r="DA74" s="17"/>
      <c r="DB74" s="17"/>
      <c r="DC74" s="17"/>
      <c r="DD74" s="31"/>
      <c r="DE74" s="321"/>
      <c r="DF74" s="321"/>
      <c r="DG74" s="321"/>
      <c r="DH74" s="321"/>
      <c r="DI74" s="321"/>
      <c r="DJ74" s="321"/>
      <c r="DK74" s="321"/>
      <c r="DL74" s="321"/>
      <c r="DM74" s="321"/>
      <c r="DN74" s="321"/>
      <c r="DO74" s="321"/>
      <c r="DP74" s="322"/>
      <c r="DQ74" s="288"/>
      <c r="DR74" s="241"/>
      <c r="DS74" s="429">
        <f t="shared" si="109"/>
        <v>0</v>
      </c>
      <c r="DT74" s="429"/>
      <c r="DU74" s="429"/>
      <c r="DV74" s="429"/>
      <c r="DW74" s="429"/>
      <c r="DX74" s="429"/>
      <c r="DY74" s="429"/>
      <c r="DZ74" s="134"/>
      <c r="EA74" s="134"/>
      <c r="EB74" s="134"/>
      <c r="EC74" s="134"/>
      <c r="ED74" s="123"/>
      <c r="EH74" s="46"/>
      <c r="EI74" s="45"/>
      <c r="EJ74" s="33" t="b">
        <f t="shared" si="110"/>
        <v>0</v>
      </c>
      <c r="EK74" s="439"/>
      <c r="EL74" s="439"/>
      <c r="EM74" s="439"/>
      <c r="EN74" s="439"/>
      <c r="EO74" s="439"/>
      <c r="EP74" s="439"/>
      <c r="EQ74" s="47"/>
      <c r="ER74" s="65"/>
      <c r="ES74" s="66"/>
      <c r="ET74" s="442"/>
      <c r="EU74" s="69"/>
      <c r="EV74" s="151"/>
      <c r="EZ74" s="393" t="s">
        <v>97</v>
      </c>
      <c r="FA74" s="393" t="s">
        <v>97</v>
      </c>
      <c r="FB74" s="389">
        <v>2752.3</v>
      </c>
      <c r="FC74" s="389">
        <v>2760.6</v>
      </c>
      <c r="FD74" s="389">
        <v>2772.5</v>
      </c>
      <c r="FE74" s="389">
        <v>2822.4</v>
      </c>
      <c r="FF74" s="389">
        <v>2822.4</v>
      </c>
      <c r="FG74" s="390">
        <v>8.6213142070565036E-4</v>
      </c>
      <c r="FH74" s="390">
        <v>3.5996393146979326E-3</v>
      </c>
      <c r="FI74" s="390">
        <v>0</v>
      </c>
      <c r="FJ74" s="391" t="s">
        <v>1389</v>
      </c>
      <c r="FK74" s="391">
        <v>-1</v>
      </c>
      <c r="FL74" s="31" t="s">
        <v>1394</v>
      </c>
      <c r="FN74" s="128" t="s">
        <v>1526</v>
      </c>
      <c r="FO74" s="128" t="s">
        <v>1527</v>
      </c>
      <c r="FP74" s="128"/>
    </row>
    <row r="75" spans="1:177" ht="22" hidden="1" customHeight="1" x14ac:dyDescent="0.2">
      <c r="A75" s="13" t="s">
        <v>7</v>
      </c>
      <c r="B75" s="14" t="s">
        <v>27</v>
      </c>
      <c r="C75" s="9" t="s">
        <v>1033</v>
      </c>
      <c r="D75" s="14"/>
      <c r="E75" s="128" t="s">
        <v>98</v>
      </c>
      <c r="F75" s="15"/>
      <c r="G75" s="15" t="s">
        <v>634</v>
      </c>
      <c r="H75" s="91">
        <f>IF(G75="YES",0,1)</f>
        <v>1</v>
      </c>
      <c r="I75" s="95">
        <f t="shared" si="69"/>
        <v>2</v>
      </c>
      <c r="J75" s="91"/>
      <c r="K75" s="256">
        <f t="shared" si="70"/>
        <v>3</v>
      </c>
      <c r="L75" s="101" t="s">
        <v>678</v>
      </c>
      <c r="M75" s="99">
        <v>1</v>
      </c>
      <c r="N75" s="89"/>
      <c r="O75" s="98" t="str">
        <f t="shared" si="71"/>
        <v>_x000D__x000D_</v>
      </c>
      <c r="P75" s="144" t="str">
        <f>CONCATENATE(V75,R75,X75)</f>
        <v>_x000D__x000D_</v>
      </c>
      <c r="Q75" s="55"/>
      <c r="R75" s="64" t="s">
        <v>918</v>
      </c>
      <c r="S75" s="425"/>
      <c r="T75" s="300" t="s">
        <v>834</v>
      </c>
      <c r="U75" s="300" t="s">
        <v>834</v>
      </c>
      <c r="V75" s="300" t="s">
        <v>834</v>
      </c>
      <c r="W75" s="258"/>
      <c r="X75" s="307" t="s">
        <v>834</v>
      </c>
      <c r="Y75" s="274"/>
      <c r="Z75" s="426"/>
      <c r="AA75" s="320">
        <f t="shared" si="64"/>
        <v>0</v>
      </c>
      <c r="AB75" s="320">
        <f t="shared" si="72"/>
        <v>0</v>
      </c>
      <c r="AC75" s="320">
        <f t="shared" si="73"/>
        <v>0</v>
      </c>
      <c r="AD75" s="320">
        <f t="shared" si="74"/>
        <v>0</v>
      </c>
      <c r="AE75" s="320">
        <f t="shared" si="111"/>
        <v>0</v>
      </c>
      <c r="AF75" s="320">
        <f t="shared" si="75"/>
        <v>0</v>
      </c>
      <c r="AG75" s="320">
        <f t="shared" si="63"/>
        <v>0</v>
      </c>
      <c r="AH75" s="427"/>
      <c r="AI75" s="320">
        <f t="shared" si="76"/>
        <v>0</v>
      </c>
      <c r="AJ75" s="320">
        <f t="shared" si="77"/>
        <v>0</v>
      </c>
      <c r="AK75" s="320">
        <f t="shared" si="78"/>
        <v>0</v>
      </c>
      <c r="AL75" s="320">
        <f t="shared" si="79"/>
        <v>0</v>
      </c>
      <c r="AM75" s="320">
        <f t="shared" si="80"/>
        <v>0</v>
      </c>
      <c r="AN75" s="320">
        <f t="shared" si="81"/>
        <v>0</v>
      </c>
      <c r="AO75" s="427"/>
      <c r="AP75" s="320">
        <f t="shared" si="112"/>
        <v>0</v>
      </c>
      <c r="AQ75" s="320">
        <f t="shared" si="82"/>
        <v>0</v>
      </c>
      <c r="AR75" s="320">
        <f t="shared" si="83"/>
        <v>0</v>
      </c>
      <c r="AS75" s="320">
        <f t="shared" si="84"/>
        <v>0</v>
      </c>
      <c r="AT75" s="320">
        <f t="shared" si="85"/>
        <v>0</v>
      </c>
      <c r="AU75" s="320">
        <f t="shared" si="86"/>
        <v>0</v>
      </c>
      <c r="AV75" s="427"/>
      <c r="AW75" s="320">
        <f t="shared" si="87"/>
        <v>0</v>
      </c>
      <c r="AX75" s="320">
        <f t="shared" si="88"/>
        <v>0</v>
      </c>
      <c r="AY75" s="320">
        <f t="shared" si="89"/>
        <v>0</v>
      </c>
      <c r="AZ75" s="320">
        <f t="shared" si="90"/>
        <v>0</v>
      </c>
      <c r="BA75" s="17"/>
      <c r="BB75" s="17" t="s">
        <v>834</v>
      </c>
      <c r="BC75" s="17"/>
      <c r="BD75" s="17"/>
      <c r="BE75" s="17"/>
      <c r="BF75" s="17"/>
      <c r="BG75" s="428">
        <f t="shared" si="65"/>
        <v>0</v>
      </c>
      <c r="BH75" s="17"/>
      <c r="BI75" s="17"/>
      <c r="BJ75" s="17"/>
      <c r="BK75" s="17"/>
      <c r="BL75" s="17"/>
      <c r="BM75" s="17"/>
      <c r="BN75" s="320">
        <f t="shared" si="66"/>
        <v>0</v>
      </c>
      <c r="BO75" s="320">
        <f t="shared" si="91"/>
        <v>0</v>
      </c>
      <c r="BP75" s="427"/>
      <c r="BQ75" s="427"/>
      <c r="BR75" s="320">
        <f t="shared" si="113"/>
        <v>0</v>
      </c>
      <c r="BS75" s="320">
        <f>IF(ISNUMBER(SEARCH("1",$BP75)),1,0)</f>
        <v>0</v>
      </c>
      <c r="BT75" s="427"/>
      <c r="BU75" s="320">
        <f t="shared" si="92"/>
        <v>0</v>
      </c>
      <c r="BV75" s="320">
        <f t="shared" si="93"/>
        <v>0</v>
      </c>
      <c r="BW75" s="320">
        <f t="shared" si="114"/>
        <v>0</v>
      </c>
      <c r="BX75" s="427"/>
      <c r="BY75" s="320">
        <f t="shared" si="94"/>
        <v>0</v>
      </c>
      <c r="BZ75" s="320">
        <f t="shared" si="95"/>
        <v>0</v>
      </c>
      <c r="CA75" s="320">
        <f t="shared" si="96"/>
        <v>0</v>
      </c>
      <c r="CB75" s="320">
        <f t="shared" si="97"/>
        <v>0</v>
      </c>
      <c r="CC75" s="427"/>
      <c r="CD75" s="320">
        <f t="shared" si="98"/>
        <v>0</v>
      </c>
      <c r="CE75" s="320">
        <f t="shared" si="99"/>
        <v>0</v>
      </c>
      <c r="CF75" s="320">
        <f t="shared" si="100"/>
        <v>0</v>
      </c>
      <c r="CG75" s="320">
        <f t="shared" si="101"/>
        <v>0</v>
      </c>
      <c r="CH75" s="427"/>
      <c r="CI75" s="427"/>
      <c r="CJ75" s="427"/>
      <c r="CK75" s="427"/>
      <c r="CL75" s="320">
        <f t="shared" si="116"/>
        <v>0</v>
      </c>
      <c r="CM75" s="320">
        <f t="shared" si="102"/>
        <v>0</v>
      </c>
      <c r="CN75" s="320">
        <f t="shared" si="103"/>
        <v>0</v>
      </c>
      <c r="CO75" s="320">
        <f t="shared" si="104"/>
        <v>0</v>
      </c>
      <c r="CP75" s="427"/>
      <c r="CQ75" s="427"/>
      <c r="CR75" s="320">
        <f t="shared" si="105"/>
        <v>0</v>
      </c>
      <c r="CS75" s="320">
        <f t="shared" si="115"/>
        <v>0</v>
      </c>
      <c r="CT75" s="320">
        <f t="shared" si="58"/>
        <v>0</v>
      </c>
      <c r="CU75" s="320">
        <f t="shared" si="59"/>
        <v>0</v>
      </c>
      <c r="CV75" s="427"/>
      <c r="CW75" s="17"/>
      <c r="CX75" s="320">
        <f t="shared" si="106"/>
        <v>0</v>
      </c>
      <c r="CY75" s="320">
        <f t="shared" si="107"/>
        <v>0</v>
      </c>
      <c r="CZ75" s="320">
        <f t="shared" si="108"/>
        <v>0</v>
      </c>
      <c r="DA75" s="17"/>
      <c r="DB75" s="17"/>
      <c r="DC75" s="17"/>
      <c r="DD75" s="31"/>
      <c r="DE75" s="323"/>
      <c r="DF75" s="323"/>
      <c r="DG75" s="323"/>
      <c r="DH75" s="323"/>
      <c r="DI75" s="323"/>
      <c r="DJ75" s="323"/>
      <c r="DK75" s="323"/>
      <c r="DL75" s="323"/>
      <c r="DM75" s="323"/>
      <c r="DN75" s="323"/>
      <c r="DO75" s="323"/>
      <c r="DP75" s="324"/>
      <c r="DQ75" s="288"/>
      <c r="DR75" s="242"/>
      <c r="DS75" s="429">
        <f t="shared" si="109"/>
        <v>0</v>
      </c>
      <c r="DT75" s="429">
        <f>SUM(BA75:BF75)/5</f>
        <v>0</v>
      </c>
      <c r="DU75" s="429"/>
      <c r="DV75" s="429"/>
      <c r="DW75" s="429"/>
      <c r="DX75" s="429"/>
      <c r="DY75" s="429"/>
      <c r="DZ75" s="134"/>
      <c r="EA75" s="134"/>
      <c r="EB75" s="134"/>
      <c r="EC75" s="134"/>
      <c r="ED75" s="123"/>
      <c r="EH75" s="44"/>
      <c r="EI75" s="45"/>
      <c r="EJ75" s="33" t="e">
        <f t="shared" si="110"/>
        <v>#VALUE!</v>
      </c>
      <c r="EK75" s="439"/>
      <c r="EL75" s="439"/>
      <c r="EM75" s="439"/>
      <c r="EN75" s="439"/>
      <c r="EO75" s="439"/>
      <c r="EP75" s="439"/>
      <c r="EQ75" s="38"/>
      <c r="ER75" s="65"/>
      <c r="ES75" s="68"/>
      <c r="ET75" s="442"/>
      <c r="EU75" s="69"/>
      <c r="EV75" s="151"/>
      <c r="EZ75" s="393" t="s">
        <v>98</v>
      </c>
      <c r="FA75" s="393" t="s">
        <v>98</v>
      </c>
      <c r="FB75" s="389">
        <v>11300</v>
      </c>
      <c r="FC75" s="389">
        <v>11354</v>
      </c>
      <c r="FD75" s="389">
        <v>11384</v>
      </c>
      <c r="FE75" s="389">
        <v>11409</v>
      </c>
      <c r="FF75" s="389">
        <v>11419</v>
      </c>
      <c r="FG75" s="390">
        <v>5.2844812400915976E-4</v>
      </c>
      <c r="FH75" s="390">
        <v>4.3921293042867179E-4</v>
      </c>
      <c r="FI75" s="390">
        <v>1.7530020159523183E-4</v>
      </c>
      <c r="FJ75" s="391" t="s">
        <v>1389</v>
      </c>
      <c r="FK75" s="391">
        <v>-0.60087650100797607</v>
      </c>
      <c r="FL75" s="31" t="s">
        <v>1394</v>
      </c>
      <c r="FN75" s="128" t="s">
        <v>1528</v>
      </c>
      <c r="FO75" s="128" t="s">
        <v>1529</v>
      </c>
      <c r="FP75" s="128"/>
    </row>
    <row r="76" spans="1:177" ht="22" hidden="1" customHeight="1" x14ac:dyDescent="0.2">
      <c r="A76" s="13" t="s">
        <v>10</v>
      </c>
      <c r="B76" s="14" t="s">
        <v>39</v>
      </c>
      <c r="C76" s="14"/>
      <c r="D76" s="14" t="s">
        <v>1068</v>
      </c>
      <c r="E76" s="128" t="s">
        <v>99</v>
      </c>
      <c r="F76" s="15" t="s">
        <v>639</v>
      </c>
      <c r="G76" s="15" t="s">
        <v>635</v>
      </c>
      <c r="H76" s="91">
        <v>0</v>
      </c>
      <c r="I76" s="95">
        <f t="shared" si="69"/>
        <v>2</v>
      </c>
      <c r="J76" s="91"/>
      <c r="K76" s="256">
        <f t="shared" si="70"/>
        <v>2</v>
      </c>
      <c r="L76" s="101" t="s">
        <v>810</v>
      </c>
      <c r="M76" s="99"/>
      <c r="N76" s="26">
        <v>2000000</v>
      </c>
      <c r="O76" s="98" t="str">
        <f t="shared" si="71"/>
        <v>Promote Sustainable utilization of forest resources through REDD_x000D_- Continue 10,000 ha annual reforestation/afforestation of degraded lands_x000D_- Double 10,000 ha annual reforestation/afforestation of degraded lands translating to 20,000ha on annual basis_x000D_- Support enhancement of forest carbon stocks through 5,000 ha per annum_x000D_enrichment planting and enforcement of timber felling standards_x000D_- Manage 413,000 ha fragile, ecologically sensitive and culturally significant sites in 22 administrative district in the forest and savannah areas. _x000D__x000D__x000D_- 45% emission reduction through results-based emission reduction programme in cocoa landscape._x000D_</v>
      </c>
      <c r="P76" s="144" t="str">
        <f>CONCATENATE(V76,R76,X76)</f>
        <v xml:space="preserve">Value addition-based utilization of forest resources. Governance reform for utilization of forest resources for sustainable energy use and biodiversity business._x000D__x000D_ </v>
      </c>
      <c r="Q76" s="223" t="s">
        <v>968</v>
      </c>
      <c r="R76" s="64" t="s">
        <v>918</v>
      </c>
      <c r="S76" s="425" t="s">
        <v>967</v>
      </c>
      <c r="T76" s="300" t="s">
        <v>965</v>
      </c>
      <c r="U76" s="300" t="s">
        <v>966</v>
      </c>
      <c r="V76" s="300" t="s">
        <v>972</v>
      </c>
      <c r="W76" s="258">
        <v>0</v>
      </c>
      <c r="X76" s="307" t="s">
        <v>924</v>
      </c>
      <c r="Y76" s="297"/>
      <c r="Z76" s="426">
        <v>0</v>
      </c>
      <c r="AA76" s="320">
        <f t="shared" si="64"/>
        <v>0</v>
      </c>
      <c r="AB76" s="320">
        <f t="shared" si="72"/>
        <v>0</v>
      </c>
      <c r="AC76" s="320">
        <f t="shared" si="73"/>
        <v>0</v>
      </c>
      <c r="AD76" s="320">
        <f t="shared" si="74"/>
        <v>0</v>
      </c>
      <c r="AE76" s="320">
        <f t="shared" si="111"/>
        <v>0</v>
      </c>
      <c r="AF76" s="320">
        <f t="shared" si="75"/>
        <v>0</v>
      </c>
      <c r="AG76" s="320">
        <f t="shared" si="63"/>
        <v>0</v>
      </c>
      <c r="AH76" s="427">
        <v>1</v>
      </c>
      <c r="AI76" s="320">
        <f t="shared" si="76"/>
        <v>1</v>
      </c>
      <c r="AJ76" s="320">
        <f t="shared" si="77"/>
        <v>0</v>
      </c>
      <c r="AK76" s="320">
        <f t="shared" si="78"/>
        <v>0</v>
      </c>
      <c r="AL76" s="320">
        <f t="shared" si="79"/>
        <v>0</v>
      </c>
      <c r="AM76" s="320">
        <f t="shared" si="80"/>
        <v>0</v>
      </c>
      <c r="AN76" s="320">
        <f t="shared" si="81"/>
        <v>0</v>
      </c>
      <c r="AO76" s="427">
        <v>1</v>
      </c>
      <c r="AP76" s="320">
        <f t="shared" si="112"/>
        <v>1</v>
      </c>
      <c r="AQ76" s="320">
        <f t="shared" si="82"/>
        <v>0</v>
      </c>
      <c r="AR76" s="320">
        <f t="shared" si="83"/>
        <v>0</v>
      </c>
      <c r="AS76" s="320">
        <f t="shared" si="84"/>
        <v>0</v>
      </c>
      <c r="AT76" s="320">
        <f t="shared" si="85"/>
        <v>0</v>
      </c>
      <c r="AU76" s="320">
        <f t="shared" si="86"/>
        <v>0</v>
      </c>
      <c r="AV76" s="427">
        <v>0</v>
      </c>
      <c r="AW76" s="320">
        <f t="shared" si="87"/>
        <v>0</v>
      </c>
      <c r="AX76" s="320">
        <f t="shared" si="88"/>
        <v>0</v>
      </c>
      <c r="AY76" s="320">
        <f t="shared" si="89"/>
        <v>0</v>
      </c>
      <c r="AZ76" s="320">
        <f t="shared" si="90"/>
        <v>0</v>
      </c>
      <c r="BA76" s="17">
        <v>0</v>
      </c>
      <c r="BB76" s="17" t="s">
        <v>1267</v>
      </c>
      <c r="BC76" s="17">
        <v>0</v>
      </c>
      <c r="BD76" s="17">
        <v>0</v>
      </c>
      <c r="BE76" s="17">
        <v>0</v>
      </c>
      <c r="BF76" s="17">
        <v>0</v>
      </c>
      <c r="BG76" s="428">
        <f t="shared" si="65"/>
        <v>0</v>
      </c>
      <c r="BH76" s="17">
        <v>1</v>
      </c>
      <c r="BI76" s="17">
        <v>0</v>
      </c>
      <c r="BJ76" s="17" t="s">
        <v>1192</v>
      </c>
      <c r="BK76" s="17"/>
      <c r="BL76" s="17">
        <v>0</v>
      </c>
      <c r="BM76" s="17" t="s">
        <v>834</v>
      </c>
      <c r="BN76" s="320">
        <f t="shared" si="66"/>
        <v>0</v>
      </c>
      <c r="BO76" s="320">
        <f t="shared" si="91"/>
        <v>0</v>
      </c>
      <c r="BP76" s="427">
        <v>0</v>
      </c>
      <c r="BQ76" s="427" t="s">
        <v>834</v>
      </c>
      <c r="BR76" s="320">
        <f t="shared" si="113"/>
        <v>0</v>
      </c>
      <c r="BS76" s="320">
        <v>0</v>
      </c>
      <c r="BT76" s="427">
        <v>0</v>
      </c>
      <c r="BU76" s="320">
        <f t="shared" si="92"/>
        <v>0</v>
      </c>
      <c r="BV76" s="320">
        <f t="shared" si="93"/>
        <v>0</v>
      </c>
      <c r="BW76" s="320">
        <f t="shared" si="114"/>
        <v>0</v>
      </c>
      <c r="BX76" s="427" t="s">
        <v>317</v>
      </c>
      <c r="BY76" s="320">
        <f t="shared" si="94"/>
        <v>1</v>
      </c>
      <c r="BZ76" s="320">
        <f t="shared" si="95"/>
        <v>1</v>
      </c>
      <c r="CA76" s="320">
        <f t="shared" si="96"/>
        <v>0</v>
      </c>
      <c r="CB76" s="320">
        <f t="shared" si="97"/>
        <v>0</v>
      </c>
      <c r="CC76" s="427" t="s">
        <v>317</v>
      </c>
      <c r="CD76" s="320">
        <f t="shared" si="98"/>
        <v>1</v>
      </c>
      <c r="CE76" s="320">
        <f t="shared" si="99"/>
        <v>1</v>
      </c>
      <c r="CF76" s="320">
        <f t="shared" si="100"/>
        <v>0</v>
      </c>
      <c r="CG76" s="320">
        <f t="shared" si="101"/>
        <v>0</v>
      </c>
      <c r="CH76" s="427">
        <v>1</v>
      </c>
      <c r="CI76" s="427">
        <v>0</v>
      </c>
      <c r="CJ76" s="427">
        <v>0</v>
      </c>
      <c r="CK76" s="427">
        <v>0</v>
      </c>
      <c r="CL76" s="320">
        <f t="shared" si="116"/>
        <v>0</v>
      </c>
      <c r="CM76" s="320">
        <f t="shared" si="102"/>
        <v>0</v>
      </c>
      <c r="CN76" s="320">
        <f t="shared" si="103"/>
        <v>0</v>
      </c>
      <c r="CO76" s="320">
        <f t="shared" si="104"/>
        <v>0</v>
      </c>
      <c r="CP76" s="427">
        <v>1</v>
      </c>
      <c r="CQ76" s="427">
        <v>1</v>
      </c>
      <c r="CR76" s="320">
        <f t="shared" si="105"/>
        <v>1</v>
      </c>
      <c r="CS76" s="320">
        <f t="shared" si="115"/>
        <v>0</v>
      </c>
      <c r="CT76" s="320">
        <f t="shared" si="58"/>
        <v>0</v>
      </c>
      <c r="CU76" s="320">
        <f t="shared" si="59"/>
        <v>0</v>
      </c>
      <c r="CV76" s="427">
        <v>1</v>
      </c>
      <c r="CW76" s="17">
        <v>1</v>
      </c>
      <c r="CX76" s="320">
        <f t="shared" si="106"/>
        <v>1</v>
      </c>
      <c r="CY76" s="320">
        <f t="shared" si="107"/>
        <v>0</v>
      </c>
      <c r="CZ76" s="320">
        <f t="shared" si="108"/>
        <v>0</v>
      </c>
      <c r="DA76" s="17"/>
      <c r="DB76" s="17"/>
      <c r="DC76" s="17"/>
      <c r="DD76" s="31"/>
      <c r="DE76" s="321" t="s">
        <v>387</v>
      </c>
      <c r="DF76" s="321" t="s">
        <v>387</v>
      </c>
      <c r="DG76" s="321" t="s">
        <v>821</v>
      </c>
      <c r="DH76" s="321" t="s">
        <v>387</v>
      </c>
      <c r="DI76" s="321"/>
      <c r="DJ76" s="321" t="s">
        <v>387</v>
      </c>
      <c r="DK76" s="321">
        <v>1</v>
      </c>
      <c r="DL76" s="321">
        <v>1</v>
      </c>
      <c r="DM76" s="321">
        <v>1</v>
      </c>
      <c r="DN76" s="321" t="s">
        <v>387</v>
      </c>
      <c r="DO76" s="321" t="s">
        <v>387</v>
      </c>
      <c r="DP76" s="322">
        <v>0</v>
      </c>
      <c r="DQ76" s="291"/>
      <c r="DR76" s="239">
        <f>SUM(DS76:DX76)/6</f>
        <v>0.15801127214170693</v>
      </c>
      <c r="DS76" s="429">
        <f t="shared" si="109"/>
        <v>8.6956521739130432E-2</v>
      </c>
      <c r="DT76" s="448">
        <f>SUM(BA76:BE76,BG76)/5</f>
        <v>0</v>
      </c>
      <c r="DU76" s="429">
        <f>SUM(BI76,BO76,BS76,BU76:BW76)/6</f>
        <v>0</v>
      </c>
      <c r="DV76" s="429">
        <f>SUM(BY76-CB76,CD76-CG76)/8</f>
        <v>0.25</v>
      </c>
      <c r="DW76" s="429">
        <f>SUM(CH76:CJ76,CL76:CO76,BN76,BR76)/9</f>
        <v>0.1111111111111111</v>
      </c>
      <c r="DX76" s="429">
        <f>SUM(CP76,CR76:CV76)/6</f>
        <v>0.5</v>
      </c>
      <c r="DY76" s="444"/>
      <c r="DZ76" s="134"/>
      <c r="EA76" s="134"/>
      <c r="EB76" s="134"/>
      <c r="EC76" s="134"/>
      <c r="ED76" s="123"/>
      <c r="EH76" s="44"/>
      <c r="EI76" s="45"/>
      <c r="EJ76" s="33" t="e">
        <f t="shared" si="110"/>
        <v>#VALUE!</v>
      </c>
      <c r="EK76" s="439"/>
      <c r="EL76" s="439"/>
      <c r="EM76" s="439"/>
      <c r="EN76" s="439"/>
      <c r="EO76" s="439"/>
      <c r="EP76" s="439"/>
      <c r="EQ76" s="38"/>
      <c r="ER76" s="58">
        <v>1</v>
      </c>
      <c r="ES76" s="68"/>
      <c r="ET76" s="442"/>
      <c r="EU76" s="69"/>
      <c r="EV76" s="151"/>
      <c r="EZ76" s="393" t="s">
        <v>99</v>
      </c>
      <c r="FA76" s="393" t="s">
        <v>99</v>
      </c>
      <c r="FB76" s="389">
        <v>8627</v>
      </c>
      <c r="FC76" s="389">
        <v>8909</v>
      </c>
      <c r="FD76" s="389">
        <v>9053</v>
      </c>
      <c r="FE76" s="389">
        <v>9195</v>
      </c>
      <c r="FF76" s="389">
        <v>9337</v>
      </c>
      <c r="FG76" s="390">
        <v>3.2326860478168141E-3</v>
      </c>
      <c r="FH76" s="390">
        <v>3.137081630398763E-3</v>
      </c>
      <c r="FI76" s="390">
        <v>3.0886351277868407E-3</v>
      </c>
      <c r="FJ76" s="391" t="s">
        <v>1389</v>
      </c>
      <c r="FK76" s="391">
        <v>-1.5443175638934244E-2</v>
      </c>
      <c r="FL76" s="31" t="s">
        <v>1394</v>
      </c>
      <c r="FN76" s="128" t="s">
        <v>1530</v>
      </c>
      <c r="FO76" s="128" t="s">
        <v>1531</v>
      </c>
      <c r="FP76" s="128"/>
    </row>
    <row r="77" spans="1:177" ht="22" customHeight="1" x14ac:dyDescent="0.2">
      <c r="A77" s="13" t="s">
        <v>7</v>
      </c>
      <c r="B77" s="14" t="s">
        <v>8</v>
      </c>
      <c r="C77" s="14"/>
      <c r="D77" s="14"/>
      <c r="E77" s="216" t="s">
        <v>100</v>
      </c>
      <c r="F77" s="15" t="s">
        <v>1355</v>
      </c>
      <c r="G77" s="176" t="s">
        <v>635</v>
      </c>
      <c r="H77" s="177">
        <f>IF(G77="YES",0,1)</f>
        <v>0</v>
      </c>
      <c r="I77" s="178">
        <f t="shared" si="69"/>
        <v>0</v>
      </c>
      <c r="J77" s="177"/>
      <c r="K77" s="275">
        <f t="shared" si="70"/>
        <v>0</v>
      </c>
      <c r="L77" s="283">
        <v>0</v>
      </c>
      <c r="M77" s="156"/>
      <c r="N77" s="157">
        <v>0</v>
      </c>
      <c r="O77" s="158" t="str">
        <f t="shared" si="71"/>
        <v>N/A or not found_x000D__x000D_</v>
      </c>
      <c r="P77" s="144" t="str">
        <f>CONCATENATE(V77,R77,X77)</f>
        <v>N/A or not found_x000D__x000D_</v>
      </c>
      <c r="Q77" s="360" t="s">
        <v>925</v>
      </c>
      <c r="R77" s="64" t="s">
        <v>918</v>
      </c>
      <c r="S77" s="460"/>
      <c r="T77" s="314" t="s">
        <v>1091</v>
      </c>
      <c r="U77" s="314" t="s">
        <v>1092</v>
      </c>
      <c r="V77" s="300" t="s">
        <v>925</v>
      </c>
      <c r="W77" s="258"/>
      <c r="X77" s="306" t="s">
        <v>834</v>
      </c>
      <c r="Y77" s="295"/>
      <c r="Z77" s="426" t="s">
        <v>315</v>
      </c>
      <c r="AA77" s="320">
        <f t="shared" si="64"/>
        <v>1</v>
      </c>
      <c r="AB77" s="320">
        <f t="shared" si="72"/>
        <v>0</v>
      </c>
      <c r="AC77" s="320">
        <f t="shared" si="73"/>
        <v>0</v>
      </c>
      <c r="AD77" s="320">
        <f t="shared" si="74"/>
        <v>0</v>
      </c>
      <c r="AE77" s="320">
        <f t="shared" si="111"/>
        <v>1</v>
      </c>
      <c r="AF77" s="320">
        <f t="shared" si="75"/>
        <v>0</v>
      </c>
      <c r="AG77" s="320">
        <f t="shared" si="63"/>
        <v>0</v>
      </c>
      <c r="AH77" s="427">
        <v>1</v>
      </c>
      <c r="AI77" s="320">
        <f t="shared" si="76"/>
        <v>1</v>
      </c>
      <c r="AJ77" s="320">
        <f t="shared" si="77"/>
        <v>0</v>
      </c>
      <c r="AK77" s="320">
        <f t="shared" si="78"/>
        <v>0</v>
      </c>
      <c r="AL77" s="320">
        <f t="shared" si="79"/>
        <v>0</v>
      </c>
      <c r="AM77" s="320">
        <f t="shared" si="80"/>
        <v>0</v>
      </c>
      <c r="AN77" s="320">
        <f t="shared" si="81"/>
        <v>0</v>
      </c>
      <c r="AO77" s="427" t="s">
        <v>224</v>
      </c>
      <c r="AP77" s="320">
        <f t="shared" si="112"/>
        <v>1</v>
      </c>
      <c r="AQ77" s="320">
        <f t="shared" si="82"/>
        <v>0</v>
      </c>
      <c r="AR77" s="320">
        <f t="shared" si="83"/>
        <v>1</v>
      </c>
      <c r="AS77" s="320">
        <f t="shared" si="84"/>
        <v>0</v>
      </c>
      <c r="AT77" s="320">
        <f t="shared" si="85"/>
        <v>1</v>
      </c>
      <c r="AU77" s="320">
        <f t="shared" si="86"/>
        <v>0</v>
      </c>
      <c r="AV77" s="427">
        <v>0</v>
      </c>
      <c r="AW77" s="320">
        <f t="shared" si="87"/>
        <v>0</v>
      </c>
      <c r="AX77" s="320">
        <f t="shared" si="88"/>
        <v>0</v>
      </c>
      <c r="AY77" s="320">
        <f t="shared" si="89"/>
        <v>0</v>
      </c>
      <c r="AZ77" s="320">
        <f t="shared" si="90"/>
        <v>0</v>
      </c>
      <c r="BA77" s="17">
        <v>1</v>
      </c>
      <c r="BB77" s="17" t="s">
        <v>1305</v>
      </c>
      <c r="BC77" s="17">
        <v>0</v>
      </c>
      <c r="BD77" s="17">
        <v>0</v>
      </c>
      <c r="BE77" s="17">
        <v>0</v>
      </c>
      <c r="BF77" s="17">
        <v>0</v>
      </c>
      <c r="BG77" s="428">
        <f t="shared" si="65"/>
        <v>0</v>
      </c>
      <c r="BH77" s="17">
        <v>1</v>
      </c>
      <c r="BI77" s="17">
        <v>1</v>
      </c>
      <c r="BJ77" s="17" t="s">
        <v>1092</v>
      </c>
      <c r="BK77" s="17">
        <v>0</v>
      </c>
      <c r="BL77" s="17">
        <v>1</v>
      </c>
      <c r="BM77" s="17" t="s">
        <v>1245</v>
      </c>
      <c r="BN77" s="320">
        <f t="shared" si="66"/>
        <v>1</v>
      </c>
      <c r="BO77" s="320">
        <v>0</v>
      </c>
      <c r="BP77" s="427">
        <v>0</v>
      </c>
      <c r="BQ77" s="427" t="s">
        <v>1252</v>
      </c>
      <c r="BR77" s="320">
        <f t="shared" si="113"/>
        <v>0</v>
      </c>
      <c r="BS77" s="320">
        <f>IF(ISNUMBER(SEARCH("1",$BP77)),1,0)</f>
        <v>0</v>
      </c>
      <c r="BT77" s="427">
        <v>0</v>
      </c>
      <c r="BU77" s="320">
        <f t="shared" si="92"/>
        <v>0</v>
      </c>
      <c r="BV77" s="320">
        <f t="shared" si="93"/>
        <v>0</v>
      </c>
      <c r="BW77" s="320">
        <f t="shared" si="114"/>
        <v>0</v>
      </c>
      <c r="BX77" s="427" t="s">
        <v>221</v>
      </c>
      <c r="BY77" s="320">
        <f t="shared" si="94"/>
        <v>1</v>
      </c>
      <c r="BZ77" s="320">
        <f t="shared" si="95"/>
        <v>0</v>
      </c>
      <c r="CA77" s="320">
        <f t="shared" si="96"/>
        <v>0</v>
      </c>
      <c r="CB77" s="320">
        <f t="shared" si="97"/>
        <v>1</v>
      </c>
      <c r="CC77" s="427">
        <v>0</v>
      </c>
      <c r="CD77" s="320">
        <f t="shared" si="98"/>
        <v>0</v>
      </c>
      <c r="CE77" s="320">
        <f t="shared" si="99"/>
        <v>0</v>
      </c>
      <c r="CF77" s="320">
        <f t="shared" si="100"/>
        <v>0</v>
      </c>
      <c r="CG77" s="320">
        <f t="shared" si="101"/>
        <v>0</v>
      </c>
      <c r="CH77" s="427">
        <v>0</v>
      </c>
      <c r="CI77" s="427">
        <v>0</v>
      </c>
      <c r="CJ77" s="427">
        <v>0</v>
      </c>
      <c r="CK77" s="427">
        <v>0</v>
      </c>
      <c r="CL77" s="320">
        <f t="shared" si="116"/>
        <v>0</v>
      </c>
      <c r="CM77" s="320">
        <f t="shared" si="102"/>
        <v>0</v>
      </c>
      <c r="CN77" s="320">
        <f t="shared" si="103"/>
        <v>0</v>
      </c>
      <c r="CO77" s="320">
        <f t="shared" si="104"/>
        <v>0</v>
      </c>
      <c r="CP77" s="427">
        <v>1</v>
      </c>
      <c r="CQ77" s="427">
        <v>0</v>
      </c>
      <c r="CR77" s="320">
        <f t="shared" si="105"/>
        <v>0</v>
      </c>
      <c r="CS77" s="320">
        <f t="shared" si="115"/>
        <v>0</v>
      </c>
      <c r="CT77" s="320">
        <f t="shared" si="58"/>
        <v>0</v>
      </c>
      <c r="CU77" s="320">
        <f t="shared" si="59"/>
        <v>0</v>
      </c>
      <c r="CV77" s="427">
        <v>0</v>
      </c>
      <c r="CW77" s="17">
        <v>4</v>
      </c>
      <c r="CX77" s="320">
        <f t="shared" si="106"/>
        <v>0</v>
      </c>
      <c r="CY77" s="320">
        <f t="shared" si="107"/>
        <v>0</v>
      </c>
      <c r="CZ77" s="320">
        <f t="shared" si="108"/>
        <v>0</v>
      </c>
      <c r="DA77" s="17">
        <v>0</v>
      </c>
      <c r="DB77" s="17">
        <v>0</v>
      </c>
      <c r="DC77" s="17">
        <v>0</v>
      </c>
      <c r="DD77" s="31"/>
      <c r="DE77" s="352" t="s">
        <v>388</v>
      </c>
      <c r="DF77" s="352" t="s">
        <v>388</v>
      </c>
      <c r="DG77" s="352" t="s">
        <v>388</v>
      </c>
      <c r="DH77" s="352" t="s">
        <v>388</v>
      </c>
      <c r="DI77" s="346" t="s">
        <v>388</v>
      </c>
      <c r="DJ77" s="352" t="s">
        <v>388</v>
      </c>
      <c r="DK77" s="354" t="s">
        <v>1110</v>
      </c>
      <c r="DL77" s="352" t="s">
        <v>388</v>
      </c>
      <c r="DM77" s="352" t="s">
        <v>388</v>
      </c>
      <c r="DN77" s="352" t="s">
        <v>388</v>
      </c>
      <c r="DO77" s="352" t="s">
        <v>388</v>
      </c>
      <c r="DP77" s="353">
        <v>1</v>
      </c>
      <c r="DQ77" s="381"/>
      <c r="DR77" s="239">
        <f>SUM(DS77:DX77)/6</f>
        <v>0.15088566827697261</v>
      </c>
      <c r="DS77" s="429">
        <f t="shared" si="109"/>
        <v>0.2608695652173913</v>
      </c>
      <c r="DT77" s="429">
        <f>SUM(BA77:BE77,BG77)/5</f>
        <v>0.2</v>
      </c>
      <c r="DU77" s="429">
        <f>SUM(BI77,BO77,BS77,BU77:BW77)/6</f>
        <v>0.16666666666666666</v>
      </c>
      <c r="DV77" s="429">
        <f>SUM(BY77-CB77,CD77-CG77)/8</f>
        <v>0</v>
      </c>
      <c r="DW77" s="429">
        <f>SUM(CH77:CJ77,CL77:CO77,BN77,BR77)/9</f>
        <v>0.1111111111111111</v>
      </c>
      <c r="DX77" s="429">
        <f>SUM(CP77,CR77:CV77)/6</f>
        <v>0.16666666666666666</v>
      </c>
      <c r="DY77" s="461"/>
      <c r="DZ77" s="183"/>
      <c r="EA77" s="183"/>
      <c r="EB77" s="183"/>
      <c r="EC77" s="183"/>
      <c r="ED77" s="183"/>
      <c r="EH77" s="46"/>
      <c r="EI77" s="45"/>
      <c r="EJ77" s="33" t="b">
        <f t="shared" si="110"/>
        <v>0</v>
      </c>
      <c r="EK77" s="439"/>
      <c r="EL77" s="439"/>
      <c r="EM77" s="439"/>
      <c r="EN77" s="439"/>
      <c r="EO77" s="439"/>
      <c r="EP77" s="439"/>
      <c r="EQ77" s="47"/>
      <c r="ER77" s="65"/>
      <c r="ES77" s="66"/>
      <c r="ET77" s="442"/>
      <c r="EU77" s="69"/>
      <c r="EV77" s="151"/>
      <c r="EZ77" s="393" t="s">
        <v>100</v>
      </c>
      <c r="FA77" s="393" t="s">
        <v>100</v>
      </c>
      <c r="FB77" s="389">
        <v>3299</v>
      </c>
      <c r="FC77" s="389">
        <v>3601</v>
      </c>
      <c r="FD77" s="389">
        <v>3752</v>
      </c>
      <c r="FE77" s="389">
        <v>3903</v>
      </c>
      <c r="FF77" s="389">
        <v>4054</v>
      </c>
      <c r="FG77" s="390">
        <v>8.3865592890863642E-3</v>
      </c>
      <c r="FH77" s="390">
        <v>8.0490405117270795E-3</v>
      </c>
      <c r="FI77" s="390">
        <v>7.7376377145785295E-3</v>
      </c>
      <c r="FJ77" s="391" t="s">
        <v>1389</v>
      </c>
      <c r="FK77" s="391">
        <v>-3.8688188572892697E-2</v>
      </c>
      <c r="FL77" s="31" t="s">
        <v>1394</v>
      </c>
      <c r="FN77" s="216" t="s">
        <v>1532</v>
      </c>
      <c r="FO77" s="216" t="s">
        <v>1533</v>
      </c>
      <c r="FP77" s="215" t="s">
        <v>1346</v>
      </c>
      <c r="FR77" s="402">
        <v>1</v>
      </c>
      <c r="FS77" s="402">
        <v>1</v>
      </c>
      <c r="FT77" s="402">
        <v>1</v>
      </c>
      <c r="FU77" s="402">
        <v>1</v>
      </c>
    </row>
    <row r="78" spans="1:177" ht="22" hidden="1" customHeight="1" x14ac:dyDescent="0.2">
      <c r="A78" s="13" t="s">
        <v>16</v>
      </c>
      <c r="B78" s="145" t="s">
        <v>17</v>
      </c>
      <c r="C78" s="145"/>
      <c r="D78" s="145"/>
      <c r="E78" s="128" t="s">
        <v>101</v>
      </c>
      <c r="F78" s="15"/>
      <c r="G78" s="15" t="s">
        <v>634</v>
      </c>
      <c r="H78" s="91">
        <f>IF(G78="YES",0,1)</f>
        <v>1</v>
      </c>
      <c r="I78" s="95">
        <f t="shared" si="69"/>
        <v>0</v>
      </c>
      <c r="J78" s="93"/>
      <c r="K78" s="256">
        <f t="shared" si="70"/>
        <v>1</v>
      </c>
      <c r="L78" s="101">
        <v>0</v>
      </c>
      <c r="M78" s="101"/>
      <c r="N78" s="89"/>
      <c r="O78" s="98" t="str">
        <f t="shared" si="71"/>
        <v>_x000D__x000D_</v>
      </c>
      <c r="P78" s="144"/>
      <c r="Q78" s="55"/>
      <c r="R78" s="64" t="s">
        <v>918</v>
      </c>
      <c r="S78" s="425"/>
      <c r="T78" s="300" t="s">
        <v>834</v>
      </c>
      <c r="U78" s="300" t="s">
        <v>834</v>
      </c>
      <c r="V78" s="300" t="s">
        <v>834</v>
      </c>
      <c r="W78" s="258"/>
      <c r="X78" s="307" t="s">
        <v>834</v>
      </c>
      <c r="Y78" s="274"/>
      <c r="Z78" s="426"/>
      <c r="AA78" s="320">
        <f t="shared" si="64"/>
        <v>0</v>
      </c>
      <c r="AB78" s="320">
        <f t="shared" si="72"/>
        <v>0</v>
      </c>
      <c r="AC78" s="320">
        <f t="shared" si="73"/>
        <v>0</v>
      </c>
      <c r="AD78" s="320">
        <f t="shared" si="74"/>
        <v>0</v>
      </c>
      <c r="AE78" s="320">
        <f t="shared" si="111"/>
        <v>0</v>
      </c>
      <c r="AF78" s="320">
        <f t="shared" si="75"/>
        <v>0</v>
      </c>
      <c r="AG78" s="320">
        <f t="shared" si="63"/>
        <v>0</v>
      </c>
      <c r="AH78" s="427"/>
      <c r="AI78" s="320">
        <f t="shared" si="76"/>
        <v>0</v>
      </c>
      <c r="AJ78" s="320">
        <f t="shared" si="77"/>
        <v>0</v>
      </c>
      <c r="AK78" s="320">
        <f t="shared" si="78"/>
        <v>0</v>
      </c>
      <c r="AL78" s="320">
        <f t="shared" si="79"/>
        <v>0</v>
      </c>
      <c r="AM78" s="320">
        <f t="shared" si="80"/>
        <v>0</v>
      </c>
      <c r="AN78" s="320">
        <f t="shared" si="81"/>
        <v>0</v>
      </c>
      <c r="AO78" s="427"/>
      <c r="AP78" s="320">
        <f t="shared" si="112"/>
        <v>0</v>
      </c>
      <c r="AQ78" s="320">
        <f t="shared" si="82"/>
        <v>0</v>
      </c>
      <c r="AR78" s="320">
        <f t="shared" si="83"/>
        <v>0</v>
      </c>
      <c r="AS78" s="320">
        <f t="shared" si="84"/>
        <v>0</v>
      </c>
      <c r="AT78" s="320">
        <f t="shared" si="85"/>
        <v>0</v>
      </c>
      <c r="AU78" s="320">
        <f t="shared" si="86"/>
        <v>0</v>
      </c>
      <c r="AV78" s="427"/>
      <c r="AW78" s="320">
        <f t="shared" si="87"/>
        <v>0</v>
      </c>
      <c r="AX78" s="320">
        <f t="shared" si="88"/>
        <v>0</v>
      </c>
      <c r="AY78" s="320">
        <f t="shared" si="89"/>
        <v>0</v>
      </c>
      <c r="AZ78" s="320">
        <f t="shared" si="90"/>
        <v>0</v>
      </c>
      <c r="BA78" s="17"/>
      <c r="BB78" s="17" t="s">
        <v>834</v>
      </c>
      <c r="BC78" s="17">
        <v>0</v>
      </c>
      <c r="BD78" s="17">
        <v>0</v>
      </c>
      <c r="BE78" s="17">
        <v>0</v>
      </c>
      <c r="BF78" s="17">
        <v>0</v>
      </c>
      <c r="BG78" s="428">
        <f t="shared" si="65"/>
        <v>0</v>
      </c>
      <c r="BH78" s="17"/>
      <c r="BI78" s="17"/>
      <c r="BJ78" s="17"/>
      <c r="BK78" s="17"/>
      <c r="BL78" s="17"/>
      <c r="BM78" s="17"/>
      <c r="BN78" s="320">
        <f t="shared" si="66"/>
        <v>0</v>
      </c>
      <c r="BO78" s="320">
        <f t="shared" ref="BO78:BO141" si="117">IF(ISNUMBER(SEARCH("t",$BL78)),1,0)</f>
        <v>0</v>
      </c>
      <c r="BP78" s="427"/>
      <c r="BQ78" s="427"/>
      <c r="BR78" s="320">
        <f t="shared" si="113"/>
        <v>0</v>
      </c>
      <c r="BS78" s="320">
        <f>IF(ISNUMBER(SEARCH("1",$BP78)),1,0)</f>
        <v>0</v>
      </c>
      <c r="BT78" s="427"/>
      <c r="BU78" s="320">
        <f t="shared" si="92"/>
        <v>0</v>
      </c>
      <c r="BV78" s="320">
        <f t="shared" si="93"/>
        <v>0</v>
      </c>
      <c r="BW78" s="320">
        <f t="shared" si="114"/>
        <v>0</v>
      </c>
      <c r="BX78" s="427"/>
      <c r="BY78" s="320">
        <f t="shared" si="94"/>
        <v>0</v>
      </c>
      <c r="BZ78" s="320">
        <f t="shared" si="95"/>
        <v>0</v>
      </c>
      <c r="CA78" s="320">
        <f t="shared" si="96"/>
        <v>0</v>
      </c>
      <c r="CB78" s="320">
        <f t="shared" si="97"/>
        <v>0</v>
      </c>
      <c r="CC78" s="427"/>
      <c r="CD78" s="320">
        <f t="shared" si="98"/>
        <v>0</v>
      </c>
      <c r="CE78" s="320">
        <f t="shared" si="99"/>
        <v>0</v>
      </c>
      <c r="CF78" s="320">
        <f t="shared" si="100"/>
        <v>0</v>
      </c>
      <c r="CG78" s="320">
        <f t="shared" si="101"/>
        <v>0</v>
      </c>
      <c r="CH78" s="427"/>
      <c r="CI78" s="427"/>
      <c r="CJ78" s="427"/>
      <c r="CK78" s="427"/>
      <c r="CL78" s="320">
        <f t="shared" si="116"/>
        <v>0</v>
      </c>
      <c r="CM78" s="320">
        <f t="shared" si="102"/>
        <v>0</v>
      </c>
      <c r="CN78" s="320">
        <f t="shared" si="103"/>
        <v>0</v>
      </c>
      <c r="CO78" s="320">
        <f t="shared" si="104"/>
        <v>0</v>
      </c>
      <c r="CP78" s="427"/>
      <c r="CQ78" s="427"/>
      <c r="CR78" s="320">
        <f t="shared" si="105"/>
        <v>0</v>
      </c>
      <c r="CS78" s="320">
        <f t="shared" si="115"/>
        <v>0</v>
      </c>
      <c r="CT78" s="320">
        <f t="shared" si="58"/>
        <v>0</v>
      </c>
      <c r="CU78" s="320">
        <f t="shared" si="59"/>
        <v>0</v>
      </c>
      <c r="CV78" s="427"/>
      <c r="CW78" s="17"/>
      <c r="CX78" s="320">
        <f t="shared" si="106"/>
        <v>0</v>
      </c>
      <c r="CY78" s="320">
        <f t="shared" si="107"/>
        <v>0</v>
      </c>
      <c r="CZ78" s="320">
        <f t="shared" si="108"/>
        <v>0</v>
      </c>
      <c r="DA78" s="17"/>
      <c r="DB78" s="17"/>
      <c r="DC78" s="17"/>
      <c r="DD78" s="31"/>
      <c r="DE78" s="321"/>
      <c r="DF78" s="321"/>
      <c r="DG78" s="321"/>
      <c r="DH78" s="321"/>
      <c r="DI78" s="321"/>
      <c r="DJ78" s="321"/>
      <c r="DK78" s="321"/>
      <c r="DL78" s="321"/>
      <c r="DM78" s="321"/>
      <c r="DN78" s="321"/>
      <c r="DO78" s="321"/>
      <c r="DP78" s="322"/>
      <c r="DQ78" s="288"/>
      <c r="DR78" s="241"/>
      <c r="DS78" s="429">
        <f t="shared" si="109"/>
        <v>0</v>
      </c>
      <c r="DT78" s="429"/>
      <c r="DU78" s="429"/>
      <c r="DV78" s="429"/>
      <c r="DW78" s="429"/>
      <c r="DX78" s="429"/>
      <c r="DY78" s="429"/>
      <c r="DZ78" s="134"/>
      <c r="EA78" s="134"/>
      <c r="EB78" s="134"/>
      <c r="EC78" s="134"/>
      <c r="ED78" s="123"/>
      <c r="EH78" s="44"/>
      <c r="EI78" s="45"/>
      <c r="EJ78" s="33" t="b">
        <f t="shared" si="110"/>
        <v>0</v>
      </c>
      <c r="EK78" s="439"/>
      <c r="EL78" s="439"/>
      <c r="EM78" s="439"/>
      <c r="EN78" s="439"/>
      <c r="EO78" s="439"/>
      <c r="EP78" s="439"/>
      <c r="EQ78" s="38"/>
      <c r="ER78" s="65"/>
      <c r="ES78" s="68"/>
      <c r="ET78" s="442"/>
      <c r="EU78" s="69"/>
      <c r="EV78" s="151"/>
      <c r="EZ78" s="393" t="s">
        <v>101</v>
      </c>
      <c r="FA78" s="393" t="s">
        <v>101</v>
      </c>
      <c r="FB78" s="389">
        <v>16.989999999999998</v>
      </c>
      <c r="FC78" s="389">
        <v>16.989999999999998</v>
      </c>
      <c r="FD78" s="389">
        <v>16.989999999999998</v>
      </c>
      <c r="FE78" s="389">
        <v>16.989999999999998</v>
      </c>
      <c r="FF78" s="389">
        <v>16.989999999999998</v>
      </c>
      <c r="FG78" s="390">
        <v>0</v>
      </c>
      <c r="FH78" s="390">
        <v>0</v>
      </c>
      <c r="FI78" s="390">
        <v>0</v>
      </c>
      <c r="FJ78" s="391">
        <v>0</v>
      </c>
      <c r="FK78" s="391" t="s">
        <v>1386</v>
      </c>
      <c r="FL78" s="31" t="s">
        <v>1387</v>
      </c>
      <c r="FN78" s="128" t="s">
        <v>1534</v>
      </c>
      <c r="FO78" s="128" t="s">
        <v>1535</v>
      </c>
      <c r="FP78" s="128"/>
    </row>
    <row r="79" spans="1:177" ht="22" hidden="1" customHeight="1" x14ac:dyDescent="0.2">
      <c r="A79" s="13" t="s">
        <v>16</v>
      </c>
      <c r="B79" s="19" t="s">
        <v>37</v>
      </c>
      <c r="C79" s="19"/>
      <c r="D79" s="19"/>
      <c r="E79" s="128" t="s">
        <v>102</v>
      </c>
      <c r="F79" s="15" t="s">
        <v>637</v>
      </c>
      <c r="G79" s="15" t="s">
        <v>635</v>
      </c>
      <c r="H79" s="95">
        <f>IF(G79="YES",0,1)</f>
        <v>0</v>
      </c>
      <c r="I79" s="95">
        <f t="shared" si="69"/>
        <v>2</v>
      </c>
      <c r="J79" s="95">
        <v>2</v>
      </c>
      <c r="K79" s="256">
        <f t="shared" si="70"/>
        <v>4</v>
      </c>
      <c r="L79" s="278" t="s">
        <v>640</v>
      </c>
      <c r="M79" s="25"/>
      <c r="N79" s="26">
        <v>1200000</v>
      </c>
      <c r="O79" s="144" t="str">
        <f t="shared" si="71"/>
        <v>Restore 1,200,000 of forest landscapes_x000D__x000D_-</v>
      </c>
      <c r="P79" s="144" t="str">
        <f>CONCATENATE(V79,R79,X79)</f>
        <v xml:space="preserve">_x000D__x000D_Entre las acciones relevantes se considera la implementación de la estrategia nacional de diversidad biológica y su plan de acción 2012 - 2022, que permita la integración de la diversidad biológica en la adaptación y mitigación al cambio climático y la valoración de los conocimientos ancestrales de los pueblos indígenas, reconociendo el papel de los modelos económicos campesinos e indígenas, culturalmente pertinentes en la adaptación al cambio climático. </v>
      </c>
      <c r="Q79" s="55" t="s">
        <v>516</v>
      </c>
      <c r="R79" s="64" t="s">
        <v>918</v>
      </c>
      <c r="S79" s="446" t="s">
        <v>386</v>
      </c>
      <c r="T79" s="300" t="s">
        <v>925</v>
      </c>
      <c r="U79" s="301" t="s">
        <v>942</v>
      </c>
      <c r="V79" s="300"/>
      <c r="W79" s="258" t="s">
        <v>456</v>
      </c>
      <c r="X79" s="307" t="s">
        <v>456</v>
      </c>
      <c r="Y79" s="274"/>
      <c r="Z79" s="426">
        <v>1</v>
      </c>
      <c r="AA79" s="320">
        <f t="shared" si="64"/>
        <v>1</v>
      </c>
      <c r="AB79" s="320">
        <f t="shared" si="72"/>
        <v>0</v>
      </c>
      <c r="AC79" s="320">
        <f t="shared" si="73"/>
        <v>0</v>
      </c>
      <c r="AD79" s="320">
        <f t="shared" si="74"/>
        <v>0</v>
      </c>
      <c r="AE79" s="320">
        <f t="shared" si="111"/>
        <v>0</v>
      </c>
      <c r="AF79" s="320">
        <f t="shared" si="75"/>
        <v>0</v>
      </c>
      <c r="AG79" s="320">
        <f t="shared" si="63"/>
        <v>0</v>
      </c>
      <c r="AH79" s="427" t="s">
        <v>221</v>
      </c>
      <c r="AI79" s="320">
        <f t="shared" si="76"/>
        <v>1</v>
      </c>
      <c r="AJ79" s="320">
        <f t="shared" si="77"/>
        <v>1</v>
      </c>
      <c r="AK79" s="320">
        <f t="shared" si="78"/>
        <v>0</v>
      </c>
      <c r="AL79" s="320">
        <f t="shared" si="79"/>
        <v>0</v>
      </c>
      <c r="AM79" s="320">
        <f t="shared" si="80"/>
        <v>0</v>
      </c>
      <c r="AN79" s="320">
        <f t="shared" si="81"/>
        <v>0</v>
      </c>
      <c r="AO79" s="427">
        <v>0</v>
      </c>
      <c r="AP79" s="320">
        <f t="shared" si="112"/>
        <v>0</v>
      </c>
      <c r="AQ79" s="320">
        <f t="shared" si="82"/>
        <v>0</v>
      </c>
      <c r="AR79" s="320">
        <f t="shared" si="83"/>
        <v>0</v>
      </c>
      <c r="AS79" s="320">
        <f t="shared" si="84"/>
        <v>0</v>
      </c>
      <c r="AT79" s="320">
        <f t="shared" si="85"/>
        <v>0</v>
      </c>
      <c r="AU79" s="320">
        <f t="shared" si="86"/>
        <v>0</v>
      </c>
      <c r="AV79" s="427">
        <v>0</v>
      </c>
      <c r="AW79" s="320">
        <f t="shared" si="87"/>
        <v>0</v>
      </c>
      <c r="AX79" s="320">
        <f t="shared" si="88"/>
        <v>0</v>
      </c>
      <c r="AY79" s="320">
        <f t="shared" si="89"/>
        <v>0</v>
      </c>
      <c r="AZ79" s="320">
        <f t="shared" si="90"/>
        <v>0</v>
      </c>
      <c r="BA79" s="17">
        <v>0</v>
      </c>
      <c r="BB79" s="17" t="s">
        <v>1287</v>
      </c>
      <c r="BC79" s="17">
        <v>0</v>
      </c>
      <c r="BD79" s="17">
        <v>0</v>
      </c>
      <c r="BE79" s="17">
        <v>0</v>
      </c>
      <c r="BF79" s="17">
        <v>0</v>
      </c>
      <c r="BG79" s="428">
        <f t="shared" si="65"/>
        <v>0</v>
      </c>
      <c r="BH79" s="17"/>
      <c r="BI79" s="17">
        <v>1</v>
      </c>
      <c r="BJ79" s="17" t="s">
        <v>1135</v>
      </c>
      <c r="BK79" s="17"/>
      <c r="BL79" s="17">
        <v>1</v>
      </c>
      <c r="BM79" s="17" t="s">
        <v>1146</v>
      </c>
      <c r="BN79" s="320">
        <f t="shared" si="66"/>
        <v>1</v>
      </c>
      <c r="BO79" s="320">
        <f t="shared" si="117"/>
        <v>0</v>
      </c>
      <c r="BP79" s="427">
        <v>1</v>
      </c>
      <c r="BQ79" s="427" t="s">
        <v>1146</v>
      </c>
      <c r="BR79" s="320">
        <f t="shared" si="113"/>
        <v>1</v>
      </c>
      <c r="BS79" s="320">
        <f>IF(ISNUMBER(SEARCH("1",$BP79)),1,0)</f>
        <v>1</v>
      </c>
      <c r="BT79" s="427">
        <v>1</v>
      </c>
      <c r="BU79" s="320">
        <f t="shared" si="92"/>
        <v>1</v>
      </c>
      <c r="BV79" s="320">
        <f t="shared" si="93"/>
        <v>0</v>
      </c>
      <c r="BW79" s="320">
        <f t="shared" si="114"/>
        <v>0</v>
      </c>
      <c r="BX79" s="427">
        <v>1</v>
      </c>
      <c r="BY79" s="320">
        <f t="shared" si="94"/>
        <v>1</v>
      </c>
      <c r="BZ79" s="320">
        <f t="shared" si="95"/>
        <v>0</v>
      </c>
      <c r="CA79" s="320">
        <f t="shared" si="96"/>
        <v>0</v>
      </c>
      <c r="CB79" s="320">
        <f t="shared" si="97"/>
        <v>0</v>
      </c>
      <c r="CC79" s="427">
        <v>1</v>
      </c>
      <c r="CD79" s="320">
        <f t="shared" si="98"/>
        <v>1</v>
      </c>
      <c r="CE79" s="320">
        <f t="shared" si="99"/>
        <v>0</v>
      </c>
      <c r="CF79" s="320">
        <f t="shared" si="100"/>
        <v>0</v>
      </c>
      <c r="CG79" s="320">
        <f t="shared" si="101"/>
        <v>0</v>
      </c>
      <c r="CH79" s="427">
        <v>1</v>
      </c>
      <c r="CI79" s="427">
        <v>0</v>
      </c>
      <c r="CJ79" s="427">
        <v>0</v>
      </c>
      <c r="CK79" s="427">
        <v>0</v>
      </c>
      <c r="CL79" s="320">
        <f t="shared" si="116"/>
        <v>0</v>
      </c>
      <c r="CM79" s="320">
        <f t="shared" si="102"/>
        <v>0</v>
      </c>
      <c r="CN79" s="320">
        <f t="shared" si="103"/>
        <v>0</v>
      </c>
      <c r="CO79" s="320">
        <f t="shared" si="104"/>
        <v>0</v>
      </c>
      <c r="CP79" s="427">
        <v>0</v>
      </c>
      <c r="CQ79" s="427">
        <v>1.2</v>
      </c>
      <c r="CR79" s="320">
        <f t="shared" si="105"/>
        <v>1</v>
      </c>
      <c r="CS79" s="320">
        <f t="shared" si="115"/>
        <v>0</v>
      </c>
      <c r="CT79" s="320">
        <f t="shared" si="58"/>
        <v>1</v>
      </c>
      <c r="CU79" s="320">
        <f t="shared" si="59"/>
        <v>0</v>
      </c>
      <c r="CV79" s="427">
        <v>0</v>
      </c>
      <c r="CW79" s="17">
        <v>1</v>
      </c>
      <c r="CX79" s="320">
        <f t="shared" si="106"/>
        <v>1</v>
      </c>
      <c r="CY79" s="320">
        <f t="shared" si="107"/>
        <v>0</v>
      </c>
      <c r="CZ79" s="320">
        <f t="shared" si="108"/>
        <v>0</v>
      </c>
      <c r="DA79" s="17">
        <v>1</v>
      </c>
      <c r="DB79" s="17">
        <v>1</v>
      </c>
      <c r="DC79" s="17">
        <v>1</v>
      </c>
      <c r="DD79" s="31"/>
      <c r="DE79" s="331" t="s">
        <v>387</v>
      </c>
      <c r="DF79" s="323" t="s">
        <v>388</v>
      </c>
      <c r="DG79" s="323" t="s">
        <v>387</v>
      </c>
      <c r="DH79" s="323" t="s">
        <v>387</v>
      </c>
      <c r="DI79" s="323"/>
      <c r="DJ79" s="323"/>
      <c r="DK79" s="323"/>
      <c r="DL79" s="323" t="s">
        <v>455</v>
      </c>
      <c r="DM79" s="323"/>
      <c r="DN79" s="323"/>
      <c r="DO79" s="323"/>
      <c r="DP79" s="336" t="s">
        <v>456</v>
      </c>
      <c r="DQ79" s="292"/>
      <c r="DR79" s="240">
        <f>SUM(DS79:DX79)/6</f>
        <v>0.2578502415458937</v>
      </c>
      <c r="DS79" s="429">
        <f t="shared" si="109"/>
        <v>0.13043478260869565</v>
      </c>
      <c r="DT79" s="429">
        <f>SUM(BA79:BE79,BG79)/5</f>
        <v>0</v>
      </c>
      <c r="DU79" s="429">
        <f>SUM(BI79,BO79,BS79,BU79:BW79)/6</f>
        <v>0.5</v>
      </c>
      <c r="DV79" s="429">
        <f>SUM(BY79-CB79,CD79-CG79)/8</f>
        <v>0.25</v>
      </c>
      <c r="DW79" s="429">
        <f>SUM(CH79:CJ79,CL79:CO79,BN79,BR79)/9</f>
        <v>0.33333333333333331</v>
      </c>
      <c r="DX79" s="429">
        <f>SUM(CP79,CR79:CV79)/6</f>
        <v>0.33333333333333331</v>
      </c>
      <c r="DY79" s="444"/>
      <c r="DZ79" s="140" t="s">
        <v>700</v>
      </c>
      <c r="EA79" s="140" t="s">
        <v>701</v>
      </c>
      <c r="EB79" s="139" t="s">
        <v>794</v>
      </c>
      <c r="EC79" s="139" t="s">
        <v>784</v>
      </c>
      <c r="ED79" s="123">
        <v>3</v>
      </c>
      <c r="EH79" s="46"/>
      <c r="EI79" s="45"/>
      <c r="EJ79" s="33" t="e">
        <f t="shared" si="110"/>
        <v>#VALUE!</v>
      </c>
      <c r="EK79" s="439"/>
      <c r="EL79" s="439"/>
      <c r="EM79" s="439"/>
      <c r="EN79" s="439"/>
      <c r="EO79" s="439"/>
      <c r="EP79" s="439"/>
      <c r="EQ79" s="47"/>
      <c r="ER79" s="65"/>
      <c r="ES79" s="66"/>
      <c r="ET79" s="442"/>
      <c r="EU79" s="69"/>
      <c r="EV79" s="151"/>
      <c r="EZ79" s="393" t="s">
        <v>102</v>
      </c>
      <c r="FA79" s="393" t="s">
        <v>102</v>
      </c>
      <c r="FB79" s="389">
        <v>4748</v>
      </c>
      <c r="FC79" s="389">
        <v>4208</v>
      </c>
      <c r="FD79" s="389">
        <v>3938</v>
      </c>
      <c r="FE79" s="389">
        <v>3722</v>
      </c>
      <c r="FF79" s="389">
        <v>3540</v>
      </c>
      <c r="FG79" s="390">
        <v>-1.2832699619771862E-2</v>
      </c>
      <c r="FH79" s="390">
        <v>-1.0970035551041138E-2</v>
      </c>
      <c r="FI79" s="390">
        <v>-9.7796883396023652E-3</v>
      </c>
      <c r="FJ79" s="391">
        <v>-0.1085089657093955</v>
      </c>
      <c r="FK79" s="391" t="s">
        <v>1386</v>
      </c>
      <c r="FL79" s="31" t="s">
        <v>1391</v>
      </c>
      <c r="FN79" s="128" t="s">
        <v>1536</v>
      </c>
      <c r="FO79" s="128" t="s">
        <v>1537</v>
      </c>
      <c r="FP79" s="128"/>
    </row>
    <row r="80" spans="1:177" ht="22" hidden="1" customHeight="1" x14ac:dyDescent="0.2">
      <c r="A80" s="13" t="s">
        <v>10</v>
      </c>
      <c r="B80" s="14" t="s">
        <v>39</v>
      </c>
      <c r="C80" s="14"/>
      <c r="D80" s="14" t="s">
        <v>1068</v>
      </c>
      <c r="E80" s="128" t="s">
        <v>103</v>
      </c>
      <c r="F80" s="15" t="s">
        <v>639</v>
      </c>
      <c r="G80" s="15" t="s">
        <v>634</v>
      </c>
      <c r="H80" s="91">
        <v>1</v>
      </c>
      <c r="I80" s="95">
        <f t="shared" si="69"/>
        <v>2</v>
      </c>
      <c r="J80" s="91"/>
      <c r="K80" s="256">
        <f t="shared" si="70"/>
        <v>3</v>
      </c>
      <c r="L80" s="101" t="s">
        <v>640</v>
      </c>
      <c r="M80" s="99"/>
      <c r="N80" s="26">
        <v>2000000</v>
      </c>
      <c r="O80" s="98" t="str">
        <f t="shared" si="71"/>
        <v>● Run reafforestation programmes throughout the country, covering 10,000 ha per year, and ensure sustainable management of replanted areas;_x000D__x000D_●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production);_x000D_●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Code_x000D__x000D_The mitigation potential of this commitment is calculated as a total of 34m tonnes CO2eq over the next 15 years.</v>
      </c>
      <c r="P80" s="144" t="str">
        <f>CONCATENATE(V80,R80,X80)</f>
        <v>N/A or not found_x000D__x000D_- Preserve and restore the riparian forests at the spring heads and along the banks, in particular on cross-border ';_x000D_- Update the Mangrove Management and Development Plan (SDAM) ;_x000D_- Reduce the sources of mangrove degradation;_x000D_</v>
      </c>
      <c r="Q80" s="55" t="s">
        <v>969</v>
      </c>
      <c r="R80" s="64" t="s">
        <v>918</v>
      </c>
      <c r="S80" s="425" t="s">
        <v>970</v>
      </c>
      <c r="T80" s="300" t="s">
        <v>836</v>
      </c>
      <c r="U80" s="300" t="s">
        <v>1100</v>
      </c>
      <c r="V80" s="315" t="s">
        <v>925</v>
      </c>
      <c r="W80" s="258">
        <v>0</v>
      </c>
      <c r="X80" s="316" t="s">
        <v>973</v>
      </c>
      <c r="Y80" s="298"/>
      <c r="Z80" s="426">
        <v>1</v>
      </c>
      <c r="AA80" s="320">
        <f t="shared" si="64"/>
        <v>1</v>
      </c>
      <c r="AB80" s="320">
        <f t="shared" si="72"/>
        <v>0</v>
      </c>
      <c r="AC80" s="320">
        <f t="shared" si="73"/>
        <v>0</v>
      </c>
      <c r="AD80" s="320">
        <f t="shared" si="74"/>
        <v>0</v>
      </c>
      <c r="AE80" s="320">
        <f t="shared" si="111"/>
        <v>0</v>
      </c>
      <c r="AF80" s="320">
        <f t="shared" si="75"/>
        <v>0</v>
      </c>
      <c r="AG80" s="320">
        <f t="shared" si="63"/>
        <v>0</v>
      </c>
      <c r="AH80" s="427">
        <v>0</v>
      </c>
      <c r="AI80" s="320">
        <f t="shared" si="76"/>
        <v>0</v>
      </c>
      <c r="AJ80" s="320">
        <f t="shared" si="77"/>
        <v>0</v>
      </c>
      <c r="AK80" s="320">
        <f t="shared" si="78"/>
        <v>0</v>
      </c>
      <c r="AL80" s="320">
        <f t="shared" si="79"/>
        <v>0</v>
      </c>
      <c r="AM80" s="320">
        <f t="shared" si="80"/>
        <v>0</v>
      </c>
      <c r="AN80" s="320">
        <f t="shared" si="81"/>
        <v>0</v>
      </c>
      <c r="AO80" s="427">
        <v>0</v>
      </c>
      <c r="AP80" s="320">
        <f t="shared" si="112"/>
        <v>0</v>
      </c>
      <c r="AQ80" s="320">
        <f t="shared" si="82"/>
        <v>0</v>
      </c>
      <c r="AR80" s="320">
        <f t="shared" si="83"/>
        <v>0</v>
      </c>
      <c r="AS80" s="320">
        <f t="shared" si="84"/>
        <v>0</v>
      </c>
      <c r="AT80" s="320">
        <f t="shared" si="85"/>
        <v>0</v>
      </c>
      <c r="AU80" s="320">
        <f t="shared" si="86"/>
        <v>0</v>
      </c>
      <c r="AV80" s="427">
        <v>0</v>
      </c>
      <c r="AW80" s="320">
        <f t="shared" si="87"/>
        <v>0</v>
      </c>
      <c r="AX80" s="320">
        <f t="shared" si="88"/>
        <v>0</v>
      </c>
      <c r="AY80" s="320">
        <f t="shared" si="89"/>
        <v>0</v>
      </c>
      <c r="AZ80" s="320">
        <f t="shared" si="90"/>
        <v>0</v>
      </c>
      <c r="BA80" s="17">
        <v>1</v>
      </c>
      <c r="BB80" s="17" t="s">
        <v>836</v>
      </c>
      <c r="BC80" s="17">
        <v>0</v>
      </c>
      <c r="BD80" s="17">
        <v>0</v>
      </c>
      <c r="BE80" s="17">
        <v>0</v>
      </c>
      <c r="BF80" s="17" t="s">
        <v>317</v>
      </c>
      <c r="BG80" s="428">
        <f t="shared" si="65"/>
        <v>1</v>
      </c>
      <c r="BH80" s="17">
        <v>0</v>
      </c>
      <c r="BI80" s="17">
        <v>1</v>
      </c>
      <c r="BJ80" s="17" t="s">
        <v>1131</v>
      </c>
      <c r="BK80" s="17"/>
      <c r="BL80" s="17">
        <v>1</v>
      </c>
      <c r="BM80" s="17" t="s">
        <v>1170</v>
      </c>
      <c r="BN80" s="320">
        <f t="shared" si="66"/>
        <v>1</v>
      </c>
      <c r="BO80" s="320">
        <f t="shared" si="117"/>
        <v>0</v>
      </c>
      <c r="BP80" s="427">
        <v>1</v>
      </c>
      <c r="BQ80" s="427" t="s">
        <v>1171</v>
      </c>
      <c r="BR80" s="320">
        <f t="shared" si="113"/>
        <v>1</v>
      </c>
      <c r="BS80" s="320">
        <v>0</v>
      </c>
      <c r="BT80" s="427">
        <v>1</v>
      </c>
      <c r="BU80" s="320">
        <f t="shared" si="92"/>
        <v>1</v>
      </c>
      <c r="BV80" s="320">
        <f t="shared" si="93"/>
        <v>0</v>
      </c>
      <c r="BW80" s="320">
        <f t="shared" si="114"/>
        <v>0</v>
      </c>
      <c r="BX80" s="427">
        <v>1</v>
      </c>
      <c r="BY80" s="320">
        <f t="shared" si="94"/>
        <v>1</v>
      </c>
      <c r="BZ80" s="320">
        <f t="shared" si="95"/>
        <v>0</v>
      </c>
      <c r="CA80" s="320">
        <f t="shared" si="96"/>
        <v>0</v>
      </c>
      <c r="CB80" s="320">
        <f t="shared" si="97"/>
        <v>0</v>
      </c>
      <c r="CC80" s="427">
        <v>1</v>
      </c>
      <c r="CD80" s="320">
        <f t="shared" si="98"/>
        <v>1</v>
      </c>
      <c r="CE80" s="320">
        <f t="shared" si="99"/>
        <v>0</v>
      </c>
      <c r="CF80" s="320">
        <f t="shared" si="100"/>
        <v>0</v>
      </c>
      <c r="CG80" s="320">
        <f t="shared" si="101"/>
        <v>0</v>
      </c>
      <c r="CH80" s="427">
        <v>0</v>
      </c>
      <c r="CI80" s="427">
        <v>0</v>
      </c>
      <c r="CJ80" s="427">
        <v>0</v>
      </c>
      <c r="CK80" s="427">
        <v>0</v>
      </c>
      <c r="CL80" s="320">
        <f t="shared" si="116"/>
        <v>0</v>
      </c>
      <c r="CM80" s="320">
        <f t="shared" si="102"/>
        <v>0</v>
      </c>
      <c r="CN80" s="320">
        <f t="shared" si="103"/>
        <v>0</v>
      </c>
      <c r="CO80" s="320">
        <f t="shared" si="104"/>
        <v>0</v>
      </c>
      <c r="CP80" s="427">
        <v>1</v>
      </c>
      <c r="CQ80" s="427" t="s">
        <v>317</v>
      </c>
      <c r="CR80" s="320">
        <f t="shared" si="105"/>
        <v>1</v>
      </c>
      <c r="CS80" s="320">
        <f t="shared" si="115"/>
        <v>0</v>
      </c>
      <c r="CT80" s="320">
        <f t="shared" si="58"/>
        <v>1</v>
      </c>
      <c r="CU80" s="320">
        <f t="shared" si="59"/>
        <v>0</v>
      </c>
      <c r="CV80" s="427">
        <v>1</v>
      </c>
      <c r="CW80" s="17" t="s">
        <v>225</v>
      </c>
      <c r="CX80" s="320">
        <f t="shared" si="106"/>
        <v>1</v>
      </c>
      <c r="CY80" s="320">
        <f t="shared" si="107"/>
        <v>0</v>
      </c>
      <c r="CZ80" s="320">
        <f t="shared" si="108"/>
        <v>0</v>
      </c>
      <c r="DA80" s="17"/>
      <c r="DB80" s="17"/>
      <c r="DC80" s="17"/>
      <c r="DD80" s="31"/>
      <c r="DE80" s="321" t="s">
        <v>387</v>
      </c>
      <c r="DF80" s="321" t="s">
        <v>387</v>
      </c>
      <c r="DG80" s="321" t="s">
        <v>387</v>
      </c>
      <c r="DH80" s="321" t="s">
        <v>387</v>
      </c>
      <c r="DI80" s="321"/>
      <c r="DJ80" s="321" t="s">
        <v>387</v>
      </c>
      <c r="DK80" s="321">
        <v>1</v>
      </c>
      <c r="DL80" s="321">
        <v>1</v>
      </c>
      <c r="DM80" s="321">
        <v>1</v>
      </c>
      <c r="DN80" s="321">
        <v>1</v>
      </c>
      <c r="DO80" s="321">
        <v>1</v>
      </c>
      <c r="DP80" s="322">
        <v>0</v>
      </c>
      <c r="DQ80" s="291"/>
      <c r="DR80" s="239">
        <f>SUM(DS80:DX80)/6</f>
        <v>0.31928341384863118</v>
      </c>
      <c r="DS80" s="429">
        <f t="shared" si="109"/>
        <v>4.3478260869565216E-2</v>
      </c>
      <c r="DT80" s="448">
        <f>SUM(BA80:BE80,BG80)/5</f>
        <v>0.4</v>
      </c>
      <c r="DU80" s="429">
        <f>SUM(BI80,BO80,BS80,BU80:BW80)/6</f>
        <v>0.33333333333333331</v>
      </c>
      <c r="DV80" s="429">
        <f>SUM(BY80-CB80,CD80-CG80)/8</f>
        <v>0.25</v>
      </c>
      <c r="DW80" s="429">
        <f>SUM(CH80:CJ80,CL80:CO80,BN80,BR80)/9</f>
        <v>0.22222222222222221</v>
      </c>
      <c r="DX80" s="429">
        <f>SUM(CP80,CR80:CV80)/6</f>
        <v>0.66666666666666663</v>
      </c>
      <c r="DY80" s="444"/>
      <c r="DZ80" s="134"/>
      <c r="EA80" s="134"/>
      <c r="EB80" s="134"/>
      <c r="EC80" s="134"/>
      <c r="ED80" s="123"/>
      <c r="EH80" s="46"/>
      <c r="EI80" s="45"/>
      <c r="EJ80" s="33" t="e">
        <f t="shared" si="110"/>
        <v>#VALUE!</v>
      </c>
      <c r="EK80" s="439"/>
      <c r="EL80" s="439"/>
      <c r="EM80" s="439"/>
      <c r="EN80" s="439"/>
      <c r="EO80" s="439"/>
      <c r="EP80" s="439"/>
      <c r="EQ80" s="47"/>
      <c r="ER80" s="65"/>
      <c r="ES80" s="66"/>
      <c r="ET80" s="442"/>
      <c r="EU80" s="69"/>
      <c r="EV80" s="151"/>
      <c r="EZ80" s="393" t="s">
        <v>103</v>
      </c>
      <c r="FA80" s="393" t="s">
        <v>103</v>
      </c>
      <c r="FB80" s="389">
        <v>7264</v>
      </c>
      <c r="FC80" s="389">
        <v>6904</v>
      </c>
      <c r="FD80" s="389">
        <v>6724</v>
      </c>
      <c r="FE80" s="389">
        <v>6544</v>
      </c>
      <c r="FF80" s="389">
        <v>6364</v>
      </c>
      <c r="FG80" s="390">
        <v>-5.2143684820393976E-3</v>
      </c>
      <c r="FH80" s="390">
        <v>-5.353955978584176E-3</v>
      </c>
      <c r="FI80" s="390">
        <v>-5.5012224938875299E-3</v>
      </c>
      <c r="FJ80" s="391">
        <v>2.750611246943754E-2</v>
      </c>
      <c r="FK80" s="391" t="s">
        <v>1386</v>
      </c>
      <c r="FL80" s="31" t="s">
        <v>1379</v>
      </c>
      <c r="FN80" s="128" t="s">
        <v>1538</v>
      </c>
      <c r="FO80" s="128" t="s">
        <v>1539</v>
      </c>
      <c r="FP80" s="128"/>
    </row>
    <row r="81" spans="1:177" ht="22" hidden="1" customHeight="1" x14ac:dyDescent="0.2">
      <c r="A81" s="13" t="s">
        <v>10</v>
      </c>
      <c r="B81" s="14" t="s">
        <v>39</v>
      </c>
      <c r="C81" s="9" t="s">
        <v>1034</v>
      </c>
      <c r="D81" s="14" t="s">
        <v>1068</v>
      </c>
      <c r="E81" s="128" t="s">
        <v>104</v>
      </c>
      <c r="F81" s="15" t="s">
        <v>639</v>
      </c>
      <c r="G81" s="15" t="s">
        <v>635</v>
      </c>
      <c r="H81" s="95">
        <v>0</v>
      </c>
      <c r="I81" s="95">
        <f t="shared" si="69"/>
        <v>0</v>
      </c>
      <c r="J81" s="95"/>
      <c r="K81" s="256">
        <f t="shared" si="70"/>
        <v>0</v>
      </c>
      <c r="L81" s="278">
        <v>0</v>
      </c>
      <c r="M81" s="25"/>
      <c r="N81" s="89"/>
      <c r="O81" s="144" t="str">
        <f t="shared" si="71"/>
        <v> Increase the percentage of protected areas from 15% to 26% and ensure its management_x000D__x000D_</v>
      </c>
      <c r="P81" s="144" t="str">
        <f>CONCATENATE(V81,R81,X81)</f>
        <v xml:space="preserve">The country plans in the short term to implement the following actions with financial, technological and capacity building support from the international community: Increase the percentage of protected areas from 15% to 26% and ensure its management, and an effective implementation of the Forest Act and the moratorium to ban the felling and export of timber over the next five years;_x000D_ Conduct a nationwide forest inventory;_x000D_ Develop an agro-ecological zone and forest management;_x000D_ Strengthen the existing capacity to participate in the REDD+ mechanism and consequently raise the_x000D_national effort to combat the adverse impacts of climate change._x000D_ Increase the adaptation capacity of national ecosystems through soil protection against water and wind erosion, and protecting the coast against rising sea levels and other types of erosion._x000D__x000D_In the medium and long term Guinea-Bissau undertakes, provided there is financial, technological and capacity building support from the international community starting from the new climate agreement and green fund, to:_x000D_ Develop a national reforestation and sustainable management of forest and agro forestry ecosystems programme by 2025;_x000D_ Develop scientific and technical research on adaptation of new productive varieties with broad spectrum tolerance to climate adverse effects by 2025;_x000D_ Reduce illegal and indiscriminate felling of trees by 2030; _x000D_ Promote forestry/plantation of species resistant to drought and low rainfall by 2030;_x000D__x000D_ </v>
      </c>
      <c r="Q81" s="55" t="s">
        <v>988</v>
      </c>
      <c r="R81" s="64" t="s">
        <v>918</v>
      </c>
      <c r="S81" s="425"/>
      <c r="T81" s="300" t="s">
        <v>983</v>
      </c>
      <c r="U81" s="300" t="s">
        <v>984</v>
      </c>
      <c r="V81" s="317" t="s">
        <v>985</v>
      </c>
      <c r="W81" s="258">
        <v>1</v>
      </c>
      <c r="X81" s="307" t="s">
        <v>924</v>
      </c>
      <c r="Y81" s="297"/>
      <c r="Z81" s="426">
        <v>1</v>
      </c>
      <c r="AA81" s="320">
        <f t="shared" si="64"/>
        <v>1</v>
      </c>
      <c r="AB81" s="320">
        <f t="shared" si="72"/>
        <v>0</v>
      </c>
      <c r="AC81" s="320">
        <f t="shared" si="73"/>
        <v>0</v>
      </c>
      <c r="AD81" s="320">
        <f t="shared" si="74"/>
        <v>0</v>
      </c>
      <c r="AE81" s="320">
        <f t="shared" si="111"/>
        <v>0</v>
      </c>
      <c r="AF81" s="320">
        <f t="shared" si="75"/>
        <v>0</v>
      </c>
      <c r="AG81" s="320">
        <f t="shared" si="63"/>
        <v>0</v>
      </c>
      <c r="AH81" s="427">
        <v>1</v>
      </c>
      <c r="AI81" s="320">
        <f t="shared" si="76"/>
        <v>1</v>
      </c>
      <c r="AJ81" s="320">
        <f t="shared" si="77"/>
        <v>0</v>
      </c>
      <c r="AK81" s="320">
        <f t="shared" si="78"/>
        <v>0</v>
      </c>
      <c r="AL81" s="320">
        <f t="shared" si="79"/>
        <v>0</v>
      </c>
      <c r="AM81" s="320">
        <f t="shared" si="80"/>
        <v>0</v>
      </c>
      <c r="AN81" s="320">
        <f t="shared" si="81"/>
        <v>0</v>
      </c>
      <c r="AO81" s="427" t="s">
        <v>315</v>
      </c>
      <c r="AP81" s="320">
        <f t="shared" si="112"/>
        <v>1</v>
      </c>
      <c r="AQ81" s="320">
        <f t="shared" si="82"/>
        <v>0</v>
      </c>
      <c r="AR81" s="320">
        <f t="shared" si="83"/>
        <v>0</v>
      </c>
      <c r="AS81" s="320">
        <f t="shared" si="84"/>
        <v>0</v>
      </c>
      <c r="AT81" s="320">
        <f t="shared" si="85"/>
        <v>1</v>
      </c>
      <c r="AU81" s="320">
        <f t="shared" si="86"/>
        <v>0</v>
      </c>
      <c r="AV81" s="427">
        <v>1</v>
      </c>
      <c r="AW81" s="320">
        <f t="shared" si="87"/>
        <v>1</v>
      </c>
      <c r="AX81" s="320">
        <f t="shared" si="88"/>
        <v>0</v>
      </c>
      <c r="AY81" s="320">
        <f t="shared" si="89"/>
        <v>0</v>
      </c>
      <c r="AZ81" s="320">
        <f t="shared" si="90"/>
        <v>0</v>
      </c>
      <c r="BA81" s="17">
        <v>1</v>
      </c>
      <c r="BB81" s="17" t="s">
        <v>1264</v>
      </c>
      <c r="BC81" s="17">
        <v>1</v>
      </c>
      <c r="BD81" s="17">
        <v>1</v>
      </c>
      <c r="BE81" s="17">
        <v>0</v>
      </c>
      <c r="BF81" s="17" t="s">
        <v>317</v>
      </c>
      <c r="BG81" s="428">
        <f t="shared" si="65"/>
        <v>1</v>
      </c>
      <c r="BH81" s="17">
        <v>1</v>
      </c>
      <c r="BI81" s="17">
        <v>1</v>
      </c>
      <c r="BJ81" s="17" t="s">
        <v>1161</v>
      </c>
      <c r="BK81" s="17"/>
      <c r="BL81" s="17">
        <v>1</v>
      </c>
      <c r="BM81" s="17" t="s">
        <v>1162</v>
      </c>
      <c r="BN81" s="320">
        <f t="shared" si="66"/>
        <v>1</v>
      </c>
      <c r="BO81" s="320">
        <f t="shared" si="117"/>
        <v>0</v>
      </c>
      <c r="BP81" s="427">
        <v>1</v>
      </c>
      <c r="BQ81" s="427" t="s">
        <v>1163</v>
      </c>
      <c r="BR81" s="320">
        <f t="shared" si="113"/>
        <v>1</v>
      </c>
      <c r="BS81" s="320">
        <v>0</v>
      </c>
      <c r="BT81" s="427">
        <v>0</v>
      </c>
      <c r="BU81" s="320">
        <f t="shared" si="92"/>
        <v>0</v>
      </c>
      <c r="BV81" s="320">
        <f t="shared" si="93"/>
        <v>0</v>
      </c>
      <c r="BW81" s="320">
        <f t="shared" si="114"/>
        <v>0</v>
      </c>
      <c r="BX81" s="427" t="s">
        <v>317</v>
      </c>
      <c r="BY81" s="320">
        <f t="shared" si="94"/>
        <v>1</v>
      </c>
      <c r="BZ81" s="320">
        <f t="shared" si="95"/>
        <v>1</v>
      </c>
      <c r="CA81" s="320">
        <f t="shared" si="96"/>
        <v>0</v>
      </c>
      <c r="CB81" s="320">
        <f t="shared" si="97"/>
        <v>0</v>
      </c>
      <c r="CC81" s="427">
        <v>1</v>
      </c>
      <c r="CD81" s="320">
        <f t="shared" si="98"/>
        <v>1</v>
      </c>
      <c r="CE81" s="320">
        <f t="shared" si="99"/>
        <v>0</v>
      </c>
      <c r="CF81" s="320">
        <f t="shared" si="100"/>
        <v>0</v>
      </c>
      <c r="CG81" s="320">
        <f t="shared" si="101"/>
        <v>0</v>
      </c>
      <c r="CH81" s="427">
        <v>1</v>
      </c>
      <c r="CI81" s="427">
        <v>0</v>
      </c>
      <c r="CJ81" s="427">
        <v>1</v>
      </c>
      <c r="CK81" s="427">
        <v>0</v>
      </c>
      <c r="CL81" s="320">
        <f t="shared" si="116"/>
        <v>0</v>
      </c>
      <c r="CM81" s="320">
        <f t="shared" si="102"/>
        <v>0</v>
      </c>
      <c r="CN81" s="320">
        <f t="shared" si="103"/>
        <v>0</v>
      </c>
      <c r="CO81" s="320">
        <f t="shared" si="104"/>
        <v>0</v>
      </c>
      <c r="CP81" s="427">
        <v>1</v>
      </c>
      <c r="CQ81" s="427" t="s">
        <v>317</v>
      </c>
      <c r="CR81" s="320">
        <f t="shared" si="105"/>
        <v>1</v>
      </c>
      <c r="CS81" s="320">
        <f t="shared" si="115"/>
        <v>0</v>
      </c>
      <c r="CT81" s="320">
        <f t="shared" si="58"/>
        <v>1</v>
      </c>
      <c r="CU81" s="320">
        <f t="shared" si="59"/>
        <v>0</v>
      </c>
      <c r="CV81" s="427">
        <v>1</v>
      </c>
      <c r="CW81" s="17" t="s">
        <v>817</v>
      </c>
      <c r="CX81" s="320">
        <f t="shared" si="106"/>
        <v>1</v>
      </c>
      <c r="CY81" s="320">
        <f t="shared" si="107"/>
        <v>0</v>
      </c>
      <c r="CZ81" s="320">
        <f t="shared" si="108"/>
        <v>0</v>
      </c>
      <c r="DA81" s="17"/>
      <c r="DB81" s="17"/>
      <c r="DC81" s="17"/>
      <c r="DD81" s="31"/>
      <c r="DE81" s="323" t="s">
        <v>387</v>
      </c>
      <c r="DF81" s="323" t="s">
        <v>387</v>
      </c>
      <c r="DG81" s="323" t="s">
        <v>387</v>
      </c>
      <c r="DH81" s="323" t="s">
        <v>387</v>
      </c>
      <c r="DI81" s="323"/>
      <c r="DJ81" s="323" t="s">
        <v>387</v>
      </c>
      <c r="DK81" s="323">
        <v>1</v>
      </c>
      <c r="DL81" s="323">
        <v>1</v>
      </c>
      <c r="DM81" s="323" t="s">
        <v>387</v>
      </c>
      <c r="DN81" s="323" t="s">
        <v>387</v>
      </c>
      <c r="DO81" s="323" t="s">
        <v>387</v>
      </c>
      <c r="DP81" s="324">
        <v>1</v>
      </c>
      <c r="DQ81" s="291"/>
      <c r="DR81" s="239">
        <f>SUM(DS81:DX81)/6</f>
        <v>0.42419484702093402</v>
      </c>
      <c r="DS81" s="429">
        <f t="shared" si="109"/>
        <v>0.21739130434782608</v>
      </c>
      <c r="DT81" s="448">
        <f>SUM(BA81:BE81,BG81)/5</f>
        <v>0.8</v>
      </c>
      <c r="DU81" s="429">
        <f>SUM(BI81,BO81,BS81,BU81:BW81)/6</f>
        <v>0.16666666666666666</v>
      </c>
      <c r="DV81" s="429">
        <f>SUM(BY81-CB81,CD81-CG81)/8</f>
        <v>0.25</v>
      </c>
      <c r="DW81" s="429">
        <f>SUM(CH81:CJ81,CL81:CO81,BN81,BR81)/9</f>
        <v>0.44444444444444442</v>
      </c>
      <c r="DX81" s="429">
        <f>SUM(CP81,CR81:CV81)/6</f>
        <v>0.66666666666666663</v>
      </c>
      <c r="DY81" s="429"/>
      <c r="DZ81" s="134"/>
      <c r="EA81" s="134"/>
      <c r="EB81" s="134"/>
      <c r="EC81" s="134"/>
      <c r="ED81" s="123"/>
      <c r="EH81" s="44">
        <v>0</v>
      </c>
      <c r="EI81" s="45"/>
      <c r="EJ81" s="33" t="b">
        <f t="shared" si="110"/>
        <v>0</v>
      </c>
      <c r="EK81" s="439"/>
      <c r="EL81" s="439"/>
      <c r="EM81" s="439"/>
      <c r="EN81" s="439"/>
      <c r="EO81" s="439"/>
      <c r="EP81" s="439"/>
      <c r="EQ81" s="38"/>
      <c r="ER81" s="58">
        <v>1</v>
      </c>
      <c r="ES81" s="68"/>
      <c r="ET81" s="442"/>
      <c r="EU81" s="69"/>
      <c r="EV81" s="151"/>
      <c r="EZ81" s="393" t="s">
        <v>104</v>
      </c>
      <c r="FA81" s="393" t="s">
        <v>104</v>
      </c>
      <c r="FB81" s="389">
        <v>2216</v>
      </c>
      <c r="FC81" s="389">
        <v>2120</v>
      </c>
      <c r="FD81" s="389">
        <v>2072</v>
      </c>
      <c r="FE81" s="389">
        <v>2022</v>
      </c>
      <c r="FF81" s="389">
        <v>1972</v>
      </c>
      <c r="FG81" s="390">
        <v>-4.5283018867924522E-3</v>
      </c>
      <c r="FH81" s="390">
        <v>-4.8262548262548262E-3</v>
      </c>
      <c r="FI81" s="390">
        <v>-4.9455984174085069E-3</v>
      </c>
      <c r="FJ81" s="391">
        <v>2.4727992087042652E-2</v>
      </c>
      <c r="FK81" s="391" t="s">
        <v>1386</v>
      </c>
      <c r="FL81" s="31" t="s">
        <v>1379</v>
      </c>
      <c r="FN81" s="128" t="s">
        <v>1540</v>
      </c>
      <c r="FO81" s="128" t="s">
        <v>1541</v>
      </c>
      <c r="FP81" s="128"/>
    </row>
    <row r="82" spans="1:177" ht="22" hidden="1" customHeight="1" x14ac:dyDescent="0.2">
      <c r="A82" s="16" t="s">
        <v>16</v>
      </c>
      <c r="B82" s="19" t="s">
        <v>19</v>
      </c>
      <c r="C82" s="19"/>
      <c r="D82" s="19"/>
      <c r="E82" s="128" t="s">
        <v>105</v>
      </c>
      <c r="F82" s="15" t="s">
        <v>637</v>
      </c>
      <c r="G82" s="15" t="s">
        <v>635</v>
      </c>
      <c r="H82" s="95">
        <f t="shared" ref="H82:H105" si="118">IF(G82="YES",0,1)</f>
        <v>0</v>
      </c>
      <c r="I82" s="95">
        <f t="shared" si="69"/>
        <v>2</v>
      </c>
      <c r="J82" s="95"/>
      <c r="K82" s="256">
        <f t="shared" si="70"/>
        <v>2</v>
      </c>
      <c r="L82" s="278" t="s">
        <v>679</v>
      </c>
      <c r="M82" s="25">
        <v>1</v>
      </c>
      <c r="N82" s="443">
        <v>1000000</v>
      </c>
      <c r="O82" s="144" t="str">
        <f t="shared" si="71"/>
        <v>_x000D__x000D_</v>
      </c>
      <c r="P82" s="144" t="str">
        <f>CONCATENATE(V82,R82,X82)</f>
        <v>Continue and improve ongoing work to realize sustainable forest management. GFC will ensure compliance with the various Codes of Practice that govern the timber industry using local resources._x000D__x000D_Forest monitoring will maintain a high level of timber legality, with the GFC committing 50% of its staff to field monitoring from its 54 forest monitoring stations countrywide. These efforts will maintain a low rate of illegal logging (at less than 2% of production)._x000D__x000D_Guyana is also prepared to finalize and implement the Voluntary Partnership Agreement (VPA) under EU- FLEGT. The VPA is expected to be finalized in 2016 and to provide independent accreditation of forest legality and management practices throughout Guyana‟s timber industry._x000D__x000D_the conservation of an additional 2 million hectares through Guyana's National Protected Area System and other effective area-based conservation measures as per Guyana's commitment under the UNCBD, including the protection of conservancies and reservoirs and their watersheds and the watersheds upstream of new hydro-power sites. Existing mangrove forests will be counted in this target and the mangrove restoration programme along the vulnerable coast will be expanded._x000D__x000D_ comprehensive and robust MRV system, one of the most advanced of its kind, has been developed under Guyana‟s REDD+ programme. The development of this system has contributed considerably to the global understanding of how small forested tropical countries can reliably and cost-effectively measure and report on its forest carbonemissions. Guyana is willing to build on the lessons learnt thus far to complete and maintain its MRVS if adequate financial resources are provided to do so_x000D__x000D_</v>
      </c>
      <c r="Q82" s="55"/>
      <c r="R82" s="64" t="s">
        <v>918</v>
      </c>
      <c r="S82" s="425"/>
      <c r="T82" s="300" t="s">
        <v>925</v>
      </c>
      <c r="U82" s="301" t="s">
        <v>952</v>
      </c>
      <c r="V82" s="300" t="s">
        <v>457</v>
      </c>
      <c r="W82" s="258"/>
      <c r="X82" s="307"/>
      <c r="Y82" s="274"/>
      <c r="Z82" s="426">
        <v>1</v>
      </c>
      <c r="AA82" s="320">
        <f t="shared" si="64"/>
        <v>1</v>
      </c>
      <c r="AB82" s="320">
        <f t="shared" si="72"/>
        <v>0</v>
      </c>
      <c r="AC82" s="320">
        <f t="shared" si="73"/>
        <v>0</v>
      </c>
      <c r="AD82" s="320">
        <f t="shared" si="74"/>
        <v>0</v>
      </c>
      <c r="AE82" s="320">
        <f t="shared" si="111"/>
        <v>0</v>
      </c>
      <c r="AF82" s="320">
        <f t="shared" si="75"/>
        <v>0</v>
      </c>
      <c r="AG82" s="320">
        <f t="shared" si="63"/>
        <v>0</v>
      </c>
      <c r="AH82" s="427" t="s">
        <v>221</v>
      </c>
      <c r="AI82" s="320">
        <f t="shared" si="76"/>
        <v>1</v>
      </c>
      <c r="AJ82" s="320">
        <f t="shared" si="77"/>
        <v>1</v>
      </c>
      <c r="AK82" s="320">
        <f t="shared" si="78"/>
        <v>0</v>
      </c>
      <c r="AL82" s="320">
        <f t="shared" si="79"/>
        <v>0</v>
      </c>
      <c r="AM82" s="320">
        <f t="shared" si="80"/>
        <v>0</v>
      </c>
      <c r="AN82" s="320">
        <f t="shared" si="81"/>
        <v>0</v>
      </c>
      <c r="AO82" s="427" t="s">
        <v>234</v>
      </c>
      <c r="AP82" s="320">
        <f t="shared" si="112"/>
        <v>0</v>
      </c>
      <c r="AQ82" s="320">
        <f t="shared" si="82"/>
        <v>0</v>
      </c>
      <c r="AR82" s="320">
        <f t="shared" si="83"/>
        <v>0</v>
      </c>
      <c r="AS82" s="320">
        <f t="shared" si="84"/>
        <v>0</v>
      </c>
      <c r="AT82" s="320">
        <f t="shared" si="85"/>
        <v>1</v>
      </c>
      <c r="AU82" s="320">
        <f t="shared" si="86"/>
        <v>1</v>
      </c>
      <c r="AV82" s="427" t="s">
        <v>235</v>
      </c>
      <c r="AW82" s="320">
        <f t="shared" si="87"/>
        <v>0</v>
      </c>
      <c r="AX82" s="320">
        <f t="shared" si="88"/>
        <v>0</v>
      </c>
      <c r="AY82" s="320">
        <f t="shared" si="89"/>
        <v>1</v>
      </c>
      <c r="AZ82" s="320">
        <f t="shared" si="90"/>
        <v>0</v>
      </c>
      <c r="BA82" s="17">
        <v>0</v>
      </c>
      <c r="BB82" s="17" t="s">
        <v>1288</v>
      </c>
      <c r="BC82" s="17">
        <v>0</v>
      </c>
      <c r="BD82" s="17">
        <v>0</v>
      </c>
      <c r="BE82" s="17">
        <v>0</v>
      </c>
      <c r="BF82" s="17">
        <v>0</v>
      </c>
      <c r="BG82" s="428">
        <f t="shared" si="65"/>
        <v>0</v>
      </c>
      <c r="BH82" s="17"/>
      <c r="BI82" s="17">
        <v>1</v>
      </c>
      <c r="BJ82" s="17" t="s">
        <v>1136</v>
      </c>
      <c r="BK82" s="17"/>
      <c r="BL82" s="17">
        <v>1</v>
      </c>
      <c r="BM82" s="17" t="s">
        <v>1147</v>
      </c>
      <c r="BN82" s="320">
        <f t="shared" si="66"/>
        <v>1</v>
      </c>
      <c r="BO82" s="320">
        <f t="shared" si="117"/>
        <v>0</v>
      </c>
      <c r="BP82" s="427">
        <v>1</v>
      </c>
      <c r="BQ82" s="427" t="s">
        <v>1147</v>
      </c>
      <c r="BR82" s="320">
        <f t="shared" si="113"/>
        <v>1</v>
      </c>
      <c r="BS82" s="320">
        <f>IF(ISNUMBER(SEARCH("1",$BP82)),1,0)</f>
        <v>1</v>
      </c>
      <c r="BT82" s="427">
        <v>1</v>
      </c>
      <c r="BU82" s="320">
        <f t="shared" si="92"/>
        <v>1</v>
      </c>
      <c r="BV82" s="320">
        <f t="shared" si="93"/>
        <v>0</v>
      </c>
      <c r="BW82" s="320">
        <f t="shared" si="114"/>
        <v>0</v>
      </c>
      <c r="BX82" s="427" t="s">
        <v>246</v>
      </c>
      <c r="BY82" s="320">
        <f t="shared" si="94"/>
        <v>1</v>
      </c>
      <c r="BZ82" s="320">
        <f t="shared" si="95"/>
        <v>1</v>
      </c>
      <c r="CA82" s="320">
        <f t="shared" si="96"/>
        <v>0</v>
      </c>
      <c r="CB82" s="320">
        <f t="shared" si="97"/>
        <v>0</v>
      </c>
      <c r="CC82" s="427">
        <v>1</v>
      </c>
      <c r="CD82" s="320">
        <f t="shared" si="98"/>
        <v>1</v>
      </c>
      <c r="CE82" s="320">
        <f t="shared" si="99"/>
        <v>0</v>
      </c>
      <c r="CF82" s="320">
        <f t="shared" si="100"/>
        <v>0</v>
      </c>
      <c r="CG82" s="320">
        <f t="shared" si="101"/>
        <v>0</v>
      </c>
      <c r="CH82" s="427">
        <v>1</v>
      </c>
      <c r="CI82" s="427">
        <v>1</v>
      </c>
      <c r="CJ82" s="427">
        <v>1</v>
      </c>
      <c r="CK82" s="427">
        <v>0</v>
      </c>
      <c r="CL82" s="320">
        <f t="shared" si="116"/>
        <v>0</v>
      </c>
      <c r="CM82" s="320">
        <f t="shared" si="102"/>
        <v>0</v>
      </c>
      <c r="CN82" s="320">
        <f t="shared" si="103"/>
        <v>0</v>
      </c>
      <c r="CO82" s="320">
        <f t="shared" si="104"/>
        <v>0</v>
      </c>
      <c r="CP82" s="427">
        <v>0</v>
      </c>
      <c r="CQ82" s="427">
        <v>1.2</v>
      </c>
      <c r="CR82" s="320">
        <f t="shared" si="105"/>
        <v>1</v>
      </c>
      <c r="CS82" s="320">
        <f t="shared" si="115"/>
        <v>0</v>
      </c>
      <c r="CT82" s="320">
        <f t="shared" si="58"/>
        <v>1</v>
      </c>
      <c r="CU82" s="320">
        <f t="shared" si="59"/>
        <v>0</v>
      </c>
      <c r="CV82" s="427">
        <v>0</v>
      </c>
      <c r="CW82" s="17">
        <v>0</v>
      </c>
      <c r="CX82" s="320">
        <f t="shared" si="106"/>
        <v>0</v>
      </c>
      <c r="CY82" s="320">
        <f t="shared" si="107"/>
        <v>0</v>
      </c>
      <c r="CZ82" s="320">
        <f t="shared" si="108"/>
        <v>0</v>
      </c>
      <c r="DA82" s="17">
        <v>1</v>
      </c>
      <c r="DB82" s="17">
        <v>0</v>
      </c>
      <c r="DC82" s="17">
        <v>1</v>
      </c>
      <c r="DD82" s="31"/>
      <c r="DE82" s="326" t="s">
        <v>387</v>
      </c>
      <c r="DF82" s="326" t="s">
        <v>388</v>
      </c>
      <c r="DG82" s="326" t="s">
        <v>388</v>
      </c>
      <c r="DH82" s="326" t="s">
        <v>387</v>
      </c>
      <c r="DI82" s="326"/>
      <c r="DJ82" s="326" t="s">
        <v>388</v>
      </c>
      <c r="DK82" s="326" t="s">
        <v>457</v>
      </c>
      <c r="DL82" s="326" t="s">
        <v>388</v>
      </c>
      <c r="DM82" s="326" t="s">
        <v>388</v>
      </c>
      <c r="DN82" s="326" t="s">
        <v>388</v>
      </c>
      <c r="DO82" s="326" t="s">
        <v>458</v>
      </c>
      <c r="DP82" s="322"/>
      <c r="DQ82" s="289"/>
      <c r="DR82" s="240">
        <f>SUM(DS82:DX82)/6</f>
        <v>0.31662640901771338</v>
      </c>
      <c r="DS82" s="429">
        <f t="shared" si="109"/>
        <v>0.2608695652173913</v>
      </c>
      <c r="DT82" s="429">
        <f>SUM(BA82:BE82,BG82)/5</f>
        <v>0</v>
      </c>
      <c r="DU82" s="429">
        <f>SUM(BI82,BO82,BS82,BU82:BW82)/6</f>
        <v>0.5</v>
      </c>
      <c r="DV82" s="429">
        <f>SUM(BY82-CB82,CD82-CG82)/8</f>
        <v>0.25</v>
      </c>
      <c r="DW82" s="429">
        <f>SUM(CH82:CJ82,CL82:CO82,BN82,BR82)/9</f>
        <v>0.55555555555555558</v>
      </c>
      <c r="DX82" s="429">
        <f>SUM(CP82,CR82:CV82)/6</f>
        <v>0.33333333333333331</v>
      </c>
      <c r="DY82" s="444"/>
      <c r="DZ82" s="140"/>
      <c r="EA82" s="140"/>
      <c r="EB82" s="140"/>
      <c r="EC82" s="140"/>
      <c r="ED82" s="123"/>
      <c r="EH82" s="46">
        <v>0</v>
      </c>
      <c r="EI82" s="45"/>
      <c r="EJ82" s="33" t="e">
        <f t="shared" si="110"/>
        <v>#VALUE!</v>
      </c>
      <c r="EK82" s="439"/>
      <c r="EL82" s="439"/>
      <c r="EM82" s="439"/>
      <c r="EN82" s="439"/>
      <c r="EO82" s="439"/>
      <c r="EP82" s="439"/>
      <c r="EQ82" s="47"/>
      <c r="ER82" s="58">
        <v>1</v>
      </c>
      <c r="ES82" s="66"/>
      <c r="ET82" s="442"/>
      <c r="EU82" s="69"/>
      <c r="EV82" s="151"/>
      <c r="EZ82" s="393" t="s">
        <v>105</v>
      </c>
      <c r="FA82" s="393" t="s">
        <v>105</v>
      </c>
      <c r="FB82" s="389">
        <v>16660</v>
      </c>
      <c r="FC82" s="389">
        <v>16622</v>
      </c>
      <c r="FD82" s="389">
        <v>16602</v>
      </c>
      <c r="FE82" s="389">
        <v>16576</v>
      </c>
      <c r="FF82" s="389">
        <v>16526</v>
      </c>
      <c r="FG82" s="390">
        <v>-2.406449284081338E-4</v>
      </c>
      <c r="FH82" s="390">
        <v>-3.1321527526803996E-4</v>
      </c>
      <c r="FI82" s="390">
        <v>-6.0328185328185327E-4</v>
      </c>
      <c r="FJ82" s="391">
        <v>0.92609333234333258</v>
      </c>
      <c r="FK82" s="391" t="s">
        <v>1386</v>
      </c>
      <c r="FL82" s="31" t="s">
        <v>1379</v>
      </c>
      <c r="FN82" s="128" t="s">
        <v>1542</v>
      </c>
      <c r="FO82" s="128" t="s">
        <v>1543</v>
      </c>
      <c r="FP82" s="128"/>
    </row>
    <row r="83" spans="1:177" ht="22" hidden="1" customHeight="1" x14ac:dyDescent="0.2">
      <c r="A83" s="13" t="s">
        <v>16</v>
      </c>
      <c r="B83" s="145" t="s">
        <v>17</v>
      </c>
      <c r="C83" s="145"/>
      <c r="D83" s="145"/>
      <c r="E83" s="128" t="s">
        <v>106</v>
      </c>
      <c r="F83" s="15"/>
      <c r="G83" s="15" t="s">
        <v>634</v>
      </c>
      <c r="H83" s="95">
        <f t="shared" si="118"/>
        <v>1</v>
      </c>
      <c r="I83" s="95">
        <f t="shared" si="69"/>
        <v>0</v>
      </c>
      <c r="J83" s="95"/>
      <c r="K83" s="256">
        <f t="shared" si="70"/>
        <v>1</v>
      </c>
      <c r="L83" s="278">
        <v>0</v>
      </c>
      <c r="M83" s="25"/>
      <c r="N83" s="89"/>
      <c r="O83" s="144" t="str">
        <f t="shared" si="71"/>
        <v>_x000D__x000D_</v>
      </c>
      <c r="P83" s="144"/>
      <c r="Q83" s="55"/>
      <c r="R83" s="64" t="s">
        <v>918</v>
      </c>
      <c r="S83" s="425"/>
      <c r="T83" s="300" t="s">
        <v>834</v>
      </c>
      <c r="U83" s="301" t="s">
        <v>834</v>
      </c>
      <c r="V83" s="300" t="s">
        <v>834</v>
      </c>
      <c r="W83" s="258"/>
      <c r="X83" s="307" t="s">
        <v>834</v>
      </c>
      <c r="Y83" s="274"/>
      <c r="Z83" s="426"/>
      <c r="AA83" s="320">
        <f t="shared" si="64"/>
        <v>0</v>
      </c>
      <c r="AB83" s="320">
        <f t="shared" si="72"/>
        <v>0</v>
      </c>
      <c r="AC83" s="320">
        <f t="shared" si="73"/>
        <v>0</v>
      </c>
      <c r="AD83" s="320">
        <f t="shared" si="74"/>
        <v>0</v>
      </c>
      <c r="AE83" s="320">
        <f t="shared" si="111"/>
        <v>0</v>
      </c>
      <c r="AF83" s="320">
        <f t="shared" si="75"/>
        <v>0</v>
      </c>
      <c r="AG83" s="320">
        <f t="shared" si="63"/>
        <v>0</v>
      </c>
      <c r="AH83" s="427"/>
      <c r="AI83" s="320">
        <f t="shared" si="76"/>
        <v>0</v>
      </c>
      <c r="AJ83" s="320">
        <f t="shared" si="77"/>
        <v>0</v>
      </c>
      <c r="AK83" s="320">
        <f t="shared" si="78"/>
        <v>0</v>
      </c>
      <c r="AL83" s="320">
        <f t="shared" si="79"/>
        <v>0</v>
      </c>
      <c r="AM83" s="320">
        <f t="shared" si="80"/>
        <v>0</v>
      </c>
      <c r="AN83" s="320">
        <f t="shared" si="81"/>
        <v>0</v>
      </c>
      <c r="AO83" s="427"/>
      <c r="AP83" s="320">
        <f t="shared" si="112"/>
        <v>0</v>
      </c>
      <c r="AQ83" s="320">
        <f t="shared" si="82"/>
        <v>0</v>
      </c>
      <c r="AR83" s="320">
        <f t="shared" si="83"/>
        <v>0</v>
      </c>
      <c r="AS83" s="320">
        <f t="shared" si="84"/>
        <v>0</v>
      </c>
      <c r="AT83" s="320">
        <f t="shared" si="85"/>
        <v>0</v>
      </c>
      <c r="AU83" s="320">
        <f t="shared" si="86"/>
        <v>0</v>
      </c>
      <c r="AV83" s="427"/>
      <c r="AW83" s="320">
        <f t="shared" si="87"/>
        <v>0</v>
      </c>
      <c r="AX83" s="320">
        <f t="shared" si="88"/>
        <v>0</v>
      </c>
      <c r="AY83" s="320">
        <f t="shared" si="89"/>
        <v>0</v>
      </c>
      <c r="AZ83" s="320">
        <f t="shared" si="90"/>
        <v>0</v>
      </c>
      <c r="BA83" s="17"/>
      <c r="BB83" s="17" t="s">
        <v>834</v>
      </c>
      <c r="BC83" s="17"/>
      <c r="BD83" s="17"/>
      <c r="BE83" s="17"/>
      <c r="BF83" s="17"/>
      <c r="BG83" s="428">
        <f t="shared" si="65"/>
        <v>0</v>
      </c>
      <c r="BH83" s="17"/>
      <c r="BI83" s="17"/>
      <c r="BJ83" s="17"/>
      <c r="BK83" s="17"/>
      <c r="BL83" s="17"/>
      <c r="BM83" s="17"/>
      <c r="BN83" s="320">
        <f t="shared" si="66"/>
        <v>0</v>
      </c>
      <c r="BO83" s="320">
        <f t="shared" si="117"/>
        <v>0</v>
      </c>
      <c r="BP83" s="427"/>
      <c r="BQ83" s="427"/>
      <c r="BR83" s="320">
        <f t="shared" si="113"/>
        <v>0</v>
      </c>
      <c r="BS83" s="320">
        <f>IF(ISNUMBER(SEARCH("1",$BP83)),1,0)</f>
        <v>0</v>
      </c>
      <c r="BT83" s="427"/>
      <c r="BU83" s="320">
        <f t="shared" si="92"/>
        <v>0</v>
      </c>
      <c r="BV83" s="320">
        <f t="shared" si="93"/>
        <v>0</v>
      </c>
      <c r="BW83" s="320">
        <f t="shared" si="114"/>
        <v>0</v>
      </c>
      <c r="BX83" s="427"/>
      <c r="BY83" s="320">
        <f t="shared" si="94"/>
        <v>0</v>
      </c>
      <c r="BZ83" s="320">
        <f t="shared" si="95"/>
        <v>0</v>
      </c>
      <c r="CA83" s="320">
        <f t="shared" si="96"/>
        <v>0</v>
      </c>
      <c r="CB83" s="320">
        <f t="shared" si="97"/>
        <v>0</v>
      </c>
      <c r="CC83" s="427"/>
      <c r="CD83" s="320">
        <f t="shared" si="98"/>
        <v>0</v>
      </c>
      <c r="CE83" s="320">
        <f t="shared" si="99"/>
        <v>0</v>
      </c>
      <c r="CF83" s="320">
        <f t="shared" si="100"/>
        <v>0</v>
      </c>
      <c r="CG83" s="320">
        <f t="shared" si="101"/>
        <v>0</v>
      </c>
      <c r="CH83" s="427"/>
      <c r="CI83" s="427"/>
      <c r="CJ83" s="427"/>
      <c r="CK83" s="427"/>
      <c r="CL83" s="320">
        <f t="shared" si="116"/>
        <v>0</v>
      </c>
      <c r="CM83" s="320">
        <f t="shared" si="102"/>
        <v>0</v>
      </c>
      <c r="CN83" s="320">
        <f t="shared" si="103"/>
        <v>0</v>
      </c>
      <c r="CO83" s="320">
        <f t="shared" si="104"/>
        <v>0</v>
      </c>
      <c r="CP83" s="427"/>
      <c r="CQ83" s="427"/>
      <c r="CR83" s="320">
        <f t="shared" si="105"/>
        <v>0</v>
      </c>
      <c r="CS83" s="320">
        <f t="shared" si="115"/>
        <v>0</v>
      </c>
      <c r="CT83" s="320">
        <f t="shared" si="58"/>
        <v>0</v>
      </c>
      <c r="CU83" s="320">
        <f t="shared" si="59"/>
        <v>0</v>
      </c>
      <c r="CV83" s="427"/>
      <c r="CW83" s="17"/>
      <c r="CX83" s="320">
        <f t="shared" si="106"/>
        <v>0</v>
      </c>
      <c r="CY83" s="320">
        <f t="shared" si="107"/>
        <v>0</v>
      </c>
      <c r="CZ83" s="320">
        <f t="shared" si="108"/>
        <v>0</v>
      </c>
      <c r="DA83" s="17"/>
      <c r="DB83" s="17"/>
      <c r="DC83" s="17"/>
      <c r="DD83" s="31"/>
      <c r="DE83" s="323"/>
      <c r="DF83" s="323"/>
      <c r="DG83" s="323"/>
      <c r="DH83" s="323"/>
      <c r="DI83" s="323"/>
      <c r="DJ83" s="323"/>
      <c r="DK83" s="323"/>
      <c r="DL83" s="323"/>
      <c r="DM83" s="323"/>
      <c r="DN83" s="323"/>
      <c r="DO83" s="323"/>
      <c r="DP83" s="324"/>
      <c r="DQ83" s="288"/>
      <c r="DR83" s="242"/>
      <c r="DS83" s="429">
        <f t="shared" si="109"/>
        <v>0</v>
      </c>
      <c r="DT83" s="429"/>
      <c r="DU83" s="429"/>
      <c r="DV83" s="429"/>
      <c r="DW83" s="429"/>
      <c r="DX83" s="429"/>
      <c r="DY83" s="429"/>
      <c r="DZ83" s="134"/>
      <c r="EA83" s="134"/>
      <c r="EB83" s="134"/>
      <c r="EC83" s="134"/>
      <c r="ED83" s="123"/>
      <c r="EH83" s="170"/>
      <c r="EI83" s="164"/>
      <c r="EJ83" s="165" t="b">
        <f t="shared" si="110"/>
        <v>0</v>
      </c>
      <c r="EK83" s="171"/>
      <c r="EL83" s="171"/>
      <c r="EM83" s="171"/>
      <c r="EN83" s="468"/>
      <c r="EO83" s="468"/>
      <c r="EP83" s="468"/>
      <c r="EQ83" s="172"/>
      <c r="ER83" s="471"/>
      <c r="ES83" s="472"/>
      <c r="ET83" s="472"/>
      <c r="EU83" s="472"/>
      <c r="EV83" s="473"/>
      <c r="EZ83" s="393" t="s">
        <v>106</v>
      </c>
      <c r="FA83" s="393" t="s">
        <v>106</v>
      </c>
      <c r="FB83" s="389">
        <v>116</v>
      </c>
      <c r="FC83" s="389">
        <v>109</v>
      </c>
      <c r="FD83" s="389">
        <v>105</v>
      </c>
      <c r="FE83" s="389">
        <v>101</v>
      </c>
      <c r="FF83" s="389">
        <v>97</v>
      </c>
      <c r="FG83" s="390">
        <v>-7.3394495412844041E-3</v>
      </c>
      <c r="FH83" s="390">
        <v>-7.6190476190476199E-3</v>
      </c>
      <c r="FI83" s="390">
        <v>-7.9207920792079209E-3</v>
      </c>
      <c r="FJ83" s="391">
        <v>3.96039603960395E-2</v>
      </c>
      <c r="FK83" s="391" t="s">
        <v>1386</v>
      </c>
      <c r="FL83" s="31" t="s">
        <v>1379</v>
      </c>
      <c r="FN83" s="128" t="s">
        <v>1544</v>
      </c>
      <c r="FO83" s="128" t="s">
        <v>1545</v>
      </c>
      <c r="FP83" s="128"/>
    </row>
    <row r="84" spans="1:177" ht="22" hidden="1" customHeight="1" x14ac:dyDescent="0.2">
      <c r="A84" s="16" t="s">
        <v>16</v>
      </c>
      <c r="B84" s="19" t="s">
        <v>37</v>
      </c>
      <c r="C84" s="19"/>
      <c r="D84" s="19"/>
      <c r="E84" s="128" t="s">
        <v>107</v>
      </c>
      <c r="F84" s="15" t="s">
        <v>637</v>
      </c>
      <c r="G84" s="15" t="s">
        <v>634</v>
      </c>
      <c r="H84" s="95">
        <f t="shared" si="118"/>
        <v>1</v>
      </c>
      <c r="I84" s="95">
        <f t="shared" si="69"/>
        <v>2</v>
      </c>
      <c r="J84" s="95">
        <v>2</v>
      </c>
      <c r="K84" s="256">
        <f t="shared" si="70"/>
        <v>5</v>
      </c>
      <c r="L84" s="278" t="s">
        <v>640</v>
      </c>
      <c r="M84" s="25"/>
      <c r="N84" s="26">
        <v>1000000</v>
      </c>
      <c r="O84" s="144" t="str">
        <f t="shared" si="71"/>
        <v>Aforestation and reforestation of 1 million hectares by 2030_x000D__x000D_Reduce by 39% hoousehold consumption of fuelwood</v>
      </c>
      <c r="P84" s="144" t="str">
        <f>CONCATENATE(V84,R84,X84)</f>
        <v>N/A_x000D__x000D_In the agriculture and other land uses sector, the main contributions until 2025 include the following: the application of actions to reduce the vulnerability of the impacts of draughts, floods, frosts and other climate change impacts in local incorporation of climate change adaptation systems in the zoning of rural areas; the creation of germoplasm banks, the use of species that contribute to decreasing erosion; diversification of species more resistant to climate change; among others._x000D_Another contribution will include the diffusion of technology and knowledge in the agriculture and livestock sector at the local level, as a tool for improving lifestyle and diversification of production. These technologies and knowledge will aid in including variables related to climate change adaptation and generate information on the potential impacts of climate change on the basic basket. Finally, in this sector, technologies that allow for further agricultural diversification and livestock production, as well as response capacity to the impacts of climate change will be identified, disaggregated, adapted and assimilated.</v>
      </c>
      <c r="Q84" s="219" t="s">
        <v>517</v>
      </c>
      <c r="R84" s="64" t="s">
        <v>918</v>
      </c>
      <c r="S84" s="446" t="s">
        <v>518</v>
      </c>
      <c r="T84" s="300" t="s">
        <v>925</v>
      </c>
      <c r="U84" s="300" t="s">
        <v>925</v>
      </c>
      <c r="V84" s="300" t="s">
        <v>388</v>
      </c>
      <c r="W84" s="258"/>
      <c r="X84" s="307" t="s">
        <v>448</v>
      </c>
      <c r="Y84" s="274"/>
      <c r="Z84" s="426" t="s">
        <v>224</v>
      </c>
      <c r="AA84" s="320">
        <f t="shared" si="64"/>
        <v>1</v>
      </c>
      <c r="AB84" s="320">
        <f t="shared" si="72"/>
        <v>0</v>
      </c>
      <c r="AC84" s="320">
        <f t="shared" si="73"/>
        <v>1</v>
      </c>
      <c r="AD84" s="320">
        <f t="shared" si="74"/>
        <v>0</v>
      </c>
      <c r="AE84" s="320">
        <f t="shared" si="111"/>
        <v>1</v>
      </c>
      <c r="AF84" s="320">
        <f t="shared" si="75"/>
        <v>0</v>
      </c>
      <c r="AG84" s="320">
        <f t="shared" si="63"/>
        <v>0</v>
      </c>
      <c r="AH84" s="427">
        <v>0</v>
      </c>
      <c r="AI84" s="320">
        <f t="shared" si="76"/>
        <v>0</v>
      </c>
      <c r="AJ84" s="320">
        <f t="shared" si="77"/>
        <v>0</v>
      </c>
      <c r="AK84" s="320">
        <f t="shared" si="78"/>
        <v>0</v>
      </c>
      <c r="AL84" s="320">
        <f t="shared" si="79"/>
        <v>0</v>
      </c>
      <c r="AM84" s="320">
        <f t="shared" si="80"/>
        <v>0</v>
      </c>
      <c r="AN84" s="320">
        <f t="shared" si="81"/>
        <v>0</v>
      </c>
      <c r="AO84" s="427">
        <v>0</v>
      </c>
      <c r="AP84" s="320">
        <f t="shared" si="112"/>
        <v>0</v>
      </c>
      <c r="AQ84" s="320">
        <f t="shared" si="82"/>
        <v>0</v>
      </c>
      <c r="AR84" s="320">
        <f t="shared" si="83"/>
        <v>0</v>
      </c>
      <c r="AS84" s="320">
        <f t="shared" si="84"/>
        <v>0</v>
      </c>
      <c r="AT84" s="320">
        <f t="shared" si="85"/>
        <v>0</v>
      </c>
      <c r="AU84" s="320">
        <f t="shared" si="86"/>
        <v>0</v>
      </c>
      <c r="AV84" s="427">
        <v>0</v>
      </c>
      <c r="AW84" s="320">
        <f t="shared" si="87"/>
        <v>0</v>
      </c>
      <c r="AX84" s="320">
        <f t="shared" si="88"/>
        <v>0</v>
      </c>
      <c r="AY84" s="320">
        <f t="shared" si="89"/>
        <v>0</v>
      </c>
      <c r="AZ84" s="320">
        <f t="shared" si="90"/>
        <v>0</v>
      </c>
      <c r="BA84" s="17">
        <v>0</v>
      </c>
      <c r="BB84" s="17" t="s">
        <v>1296</v>
      </c>
      <c r="BC84" s="17">
        <v>0</v>
      </c>
      <c r="BD84" s="17">
        <v>0</v>
      </c>
      <c r="BE84" s="17">
        <v>0</v>
      </c>
      <c r="BF84" s="17">
        <v>0</v>
      </c>
      <c r="BG84" s="428">
        <f t="shared" si="65"/>
        <v>0</v>
      </c>
      <c r="BH84" s="17"/>
      <c r="BI84" s="17">
        <v>0</v>
      </c>
      <c r="BJ84" s="17" t="s">
        <v>834</v>
      </c>
      <c r="BK84" s="17"/>
      <c r="BL84" s="17">
        <v>0</v>
      </c>
      <c r="BM84" s="17" t="s">
        <v>834</v>
      </c>
      <c r="BN84" s="320">
        <f t="shared" si="66"/>
        <v>0</v>
      </c>
      <c r="BO84" s="320">
        <f t="shared" si="117"/>
        <v>0</v>
      </c>
      <c r="BP84" s="427">
        <v>0</v>
      </c>
      <c r="BQ84" s="427" t="s">
        <v>834</v>
      </c>
      <c r="BR84" s="320">
        <f t="shared" si="113"/>
        <v>0</v>
      </c>
      <c r="BS84" s="320">
        <f>IF(ISNUMBER(SEARCH("1",$BP84)),1,0)</f>
        <v>0</v>
      </c>
      <c r="BT84" s="427">
        <v>0</v>
      </c>
      <c r="BU84" s="320">
        <f t="shared" si="92"/>
        <v>0</v>
      </c>
      <c r="BV84" s="320">
        <f t="shared" si="93"/>
        <v>0</v>
      </c>
      <c r="BW84" s="320">
        <f t="shared" si="114"/>
        <v>0</v>
      </c>
      <c r="BX84" s="427">
        <v>1</v>
      </c>
      <c r="BY84" s="320">
        <f t="shared" si="94"/>
        <v>1</v>
      </c>
      <c r="BZ84" s="320">
        <f t="shared" si="95"/>
        <v>0</v>
      </c>
      <c r="CA84" s="320">
        <f t="shared" si="96"/>
        <v>0</v>
      </c>
      <c r="CB84" s="320">
        <f t="shared" si="97"/>
        <v>0</v>
      </c>
      <c r="CC84" s="427">
        <v>1</v>
      </c>
      <c r="CD84" s="320">
        <f t="shared" si="98"/>
        <v>1</v>
      </c>
      <c r="CE84" s="320">
        <f t="shared" si="99"/>
        <v>0</v>
      </c>
      <c r="CF84" s="320">
        <f t="shared" si="100"/>
        <v>0</v>
      </c>
      <c r="CG84" s="320">
        <f t="shared" si="101"/>
        <v>0</v>
      </c>
      <c r="CH84" s="427">
        <v>0</v>
      </c>
      <c r="CI84" s="427">
        <v>0</v>
      </c>
      <c r="CJ84" s="427">
        <v>0</v>
      </c>
      <c r="CK84" s="427">
        <v>0</v>
      </c>
      <c r="CL84" s="320">
        <f t="shared" si="116"/>
        <v>0</v>
      </c>
      <c r="CM84" s="320">
        <f t="shared" si="102"/>
        <v>0</v>
      </c>
      <c r="CN84" s="320">
        <f t="shared" si="103"/>
        <v>0</v>
      </c>
      <c r="CO84" s="320">
        <f t="shared" si="104"/>
        <v>0</v>
      </c>
      <c r="CP84" s="427">
        <v>0</v>
      </c>
      <c r="CQ84" s="427">
        <v>0</v>
      </c>
      <c r="CR84" s="320">
        <f t="shared" si="105"/>
        <v>0</v>
      </c>
      <c r="CS84" s="320">
        <f t="shared" si="115"/>
        <v>0</v>
      </c>
      <c r="CT84" s="320">
        <f t="shared" si="58"/>
        <v>0</v>
      </c>
      <c r="CU84" s="320">
        <f t="shared" si="59"/>
        <v>0</v>
      </c>
      <c r="CV84" s="427">
        <v>0</v>
      </c>
      <c r="CW84" s="17">
        <v>0</v>
      </c>
      <c r="CX84" s="320">
        <f t="shared" si="106"/>
        <v>0</v>
      </c>
      <c r="CY84" s="320">
        <f t="shared" si="107"/>
        <v>0</v>
      </c>
      <c r="CZ84" s="320">
        <f t="shared" si="108"/>
        <v>0</v>
      </c>
      <c r="DA84" s="17">
        <v>1</v>
      </c>
      <c r="DB84" s="17">
        <v>1</v>
      </c>
      <c r="DC84" s="17">
        <v>1</v>
      </c>
      <c r="DD84" s="31"/>
      <c r="DE84" s="335" t="s">
        <v>387</v>
      </c>
      <c r="DF84" s="321" t="s">
        <v>388</v>
      </c>
      <c r="DG84" s="321" t="s">
        <v>388</v>
      </c>
      <c r="DH84" s="321"/>
      <c r="DI84" s="321"/>
      <c r="DJ84" s="321"/>
      <c r="DK84" s="321"/>
      <c r="DL84" s="321" t="s">
        <v>461</v>
      </c>
      <c r="DM84" s="321"/>
      <c r="DN84" s="321"/>
      <c r="DO84" s="321"/>
      <c r="DP84" s="322"/>
      <c r="DQ84" s="289"/>
      <c r="DR84" s="240">
        <f>SUM(DS84:DX84)/6</f>
        <v>6.3405797101449279E-2</v>
      </c>
      <c r="DS84" s="429">
        <f t="shared" si="109"/>
        <v>0.13043478260869565</v>
      </c>
      <c r="DT84" s="429">
        <f>SUM(BA84:BE84,BG84)/5</f>
        <v>0</v>
      </c>
      <c r="DU84" s="429">
        <f>SUM(BI84,BO84,BS84,BU84:BW84)/6</f>
        <v>0</v>
      </c>
      <c r="DV84" s="429">
        <f>SUM(BY84-CB84,CD84-CG84)/8</f>
        <v>0.25</v>
      </c>
      <c r="DW84" s="429">
        <f>SUM(CH84:CJ84,CL84:CO84,BN84,BR84)/9</f>
        <v>0</v>
      </c>
      <c r="DX84" s="429">
        <f>SUM(CP84,CR84:CV84)/6</f>
        <v>0</v>
      </c>
      <c r="DY84" s="444"/>
      <c r="DZ84" s="140" t="s">
        <v>702</v>
      </c>
      <c r="EA84" s="140" t="s">
        <v>703</v>
      </c>
      <c r="EB84" s="139" t="s">
        <v>795</v>
      </c>
      <c r="EC84" s="139" t="s">
        <v>772</v>
      </c>
      <c r="ED84" s="123">
        <v>2</v>
      </c>
      <c r="EH84" s="46">
        <v>0</v>
      </c>
      <c r="EI84" s="45"/>
      <c r="EJ84" s="33" t="e">
        <f t="shared" si="110"/>
        <v>#VALUE!</v>
      </c>
      <c r="EK84" s="42"/>
      <c r="EL84" s="42"/>
      <c r="EM84" s="42"/>
      <c r="EN84" s="439"/>
      <c r="EO84" s="439"/>
      <c r="EP84" s="439"/>
      <c r="EQ84" s="47"/>
      <c r="ER84" s="440"/>
      <c r="ES84" s="431"/>
      <c r="ET84" s="431" t="s">
        <v>668</v>
      </c>
      <c r="EU84" s="431"/>
      <c r="EV84" s="447"/>
      <c r="EZ84" s="393" t="s">
        <v>107</v>
      </c>
      <c r="FA84" s="393" t="s">
        <v>107</v>
      </c>
      <c r="FB84" s="389">
        <v>8136</v>
      </c>
      <c r="FC84" s="389">
        <v>6392</v>
      </c>
      <c r="FD84" s="389">
        <v>5792</v>
      </c>
      <c r="FE84" s="389">
        <v>5192</v>
      </c>
      <c r="FF84" s="389">
        <v>4592</v>
      </c>
      <c r="FG84" s="390">
        <v>-1.8773466833541926E-2</v>
      </c>
      <c r="FH84" s="390">
        <v>-2.0718232044198894E-2</v>
      </c>
      <c r="FI84" s="390">
        <v>-2.3112480739599383E-2</v>
      </c>
      <c r="FJ84" s="391">
        <v>0.11556240369799693</v>
      </c>
      <c r="FK84" s="391" t="s">
        <v>1386</v>
      </c>
      <c r="FL84" s="31" t="s">
        <v>1379</v>
      </c>
      <c r="FN84" s="128" t="s">
        <v>1546</v>
      </c>
      <c r="FO84" s="128" t="s">
        <v>1547</v>
      </c>
      <c r="FP84" s="128"/>
    </row>
    <row r="85" spans="1:177" ht="22" hidden="1" customHeight="1" x14ac:dyDescent="0.2">
      <c r="A85" s="13" t="s">
        <v>7</v>
      </c>
      <c r="B85" s="14" t="s">
        <v>34</v>
      </c>
      <c r="C85" s="14"/>
      <c r="D85" s="14"/>
      <c r="E85" s="128" t="s">
        <v>108</v>
      </c>
      <c r="F85" s="15"/>
      <c r="G85" s="15" t="s">
        <v>634</v>
      </c>
      <c r="H85" s="95">
        <f t="shared" si="118"/>
        <v>1</v>
      </c>
      <c r="I85" s="95">
        <f t="shared" si="69"/>
        <v>0</v>
      </c>
      <c r="J85" s="95"/>
      <c r="K85" s="256">
        <f t="shared" si="70"/>
        <v>1</v>
      </c>
      <c r="L85" s="278">
        <v>0</v>
      </c>
      <c r="M85" s="25"/>
      <c r="N85" s="89"/>
      <c r="O85" s="144" t="str">
        <f t="shared" si="71"/>
        <v>_x000D__x000D_</v>
      </c>
      <c r="P85" s="144"/>
      <c r="Q85" s="55"/>
      <c r="R85" s="64" t="s">
        <v>918</v>
      </c>
      <c r="S85" s="425"/>
      <c r="T85" s="300" t="s">
        <v>834</v>
      </c>
      <c r="U85" s="301" t="s">
        <v>834</v>
      </c>
      <c r="V85" s="300" t="s">
        <v>834</v>
      </c>
      <c r="W85" s="258"/>
      <c r="X85" s="307" t="s">
        <v>834</v>
      </c>
      <c r="Y85" s="274"/>
      <c r="Z85" s="426"/>
      <c r="AA85" s="320">
        <f t="shared" si="64"/>
        <v>0</v>
      </c>
      <c r="AB85" s="320">
        <f t="shared" si="72"/>
        <v>0</v>
      </c>
      <c r="AC85" s="320">
        <f t="shared" si="73"/>
        <v>0</v>
      </c>
      <c r="AD85" s="320">
        <f t="shared" si="74"/>
        <v>0</v>
      </c>
      <c r="AE85" s="320">
        <f t="shared" si="111"/>
        <v>0</v>
      </c>
      <c r="AF85" s="320">
        <f t="shared" si="75"/>
        <v>0</v>
      </c>
      <c r="AG85" s="320">
        <f t="shared" si="63"/>
        <v>0</v>
      </c>
      <c r="AH85" s="427"/>
      <c r="AI85" s="320">
        <f t="shared" si="76"/>
        <v>0</v>
      </c>
      <c r="AJ85" s="320">
        <f t="shared" si="77"/>
        <v>0</v>
      </c>
      <c r="AK85" s="320">
        <f t="shared" si="78"/>
        <v>0</v>
      </c>
      <c r="AL85" s="320">
        <f t="shared" si="79"/>
        <v>0</v>
      </c>
      <c r="AM85" s="320">
        <f t="shared" si="80"/>
        <v>0</v>
      </c>
      <c r="AN85" s="320">
        <f t="shared" si="81"/>
        <v>0</v>
      </c>
      <c r="AO85" s="427"/>
      <c r="AP85" s="320">
        <f t="shared" si="112"/>
        <v>0</v>
      </c>
      <c r="AQ85" s="320">
        <f t="shared" si="82"/>
        <v>0</v>
      </c>
      <c r="AR85" s="320">
        <f t="shared" si="83"/>
        <v>0</v>
      </c>
      <c r="AS85" s="320">
        <f t="shared" si="84"/>
        <v>0</v>
      </c>
      <c r="AT85" s="320">
        <f t="shared" si="85"/>
        <v>0</v>
      </c>
      <c r="AU85" s="320">
        <f t="shared" si="86"/>
        <v>0</v>
      </c>
      <c r="AV85" s="427"/>
      <c r="AW85" s="320">
        <f t="shared" si="87"/>
        <v>0</v>
      </c>
      <c r="AX85" s="320">
        <f t="shared" si="88"/>
        <v>0</v>
      </c>
      <c r="AY85" s="320">
        <f t="shared" si="89"/>
        <v>0</v>
      </c>
      <c r="AZ85" s="320">
        <f t="shared" si="90"/>
        <v>0</v>
      </c>
      <c r="BA85" s="17"/>
      <c r="BB85" s="17" t="s">
        <v>834</v>
      </c>
      <c r="BC85" s="17"/>
      <c r="BD85" s="17"/>
      <c r="BE85" s="17"/>
      <c r="BF85" s="17"/>
      <c r="BG85" s="428">
        <f t="shared" si="65"/>
        <v>0</v>
      </c>
      <c r="BH85" s="17"/>
      <c r="BI85" s="17"/>
      <c r="BJ85" s="17"/>
      <c r="BK85" s="17"/>
      <c r="BL85" s="17"/>
      <c r="BM85" s="17"/>
      <c r="BN85" s="320">
        <f t="shared" si="66"/>
        <v>0</v>
      </c>
      <c r="BO85" s="320">
        <f t="shared" si="117"/>
        <v>0</v>
      </c>
      <c r="BP85" s="427"/>
      <c r="BQ85" s="427"/>
      <c r="BR85" s="320">
        <f t="shared" si="113"/>
        <v>0</v>
      </c>
      <c r="BS85" s="320">
        <f>IF(ISNUMBER(SEARCH("1",$BP85)),1,0)</f>
        <v>0</v>
      </c>
      <c r="BT85" s="427"/>
      <c r="BU85" s="320">
        <f t="shared" si="92"/>
        <v>0</v>
      </c>
      <c r="BV85" s="320">
        <f t="shared" si="93"/>
        <v>0</v>
      </c>
      <c r="BW85" s="320">
        <f t="shared" si="114"/>
        <v>0</v>
      </c>
      <c r="BX85" s="427"/>
      <c r="BY85" s="320">
        <f t="shared" si="94"/>
        <v>0</v>
      </c>
      <c r="BZ85" s="320">
        <f t="shared" si="95"/>
        <v>0</v>
      </c>
      <c r="CA85" s="320">
        <f t="shared" si="96"/>
        <v>0</v>
      </c>
      <c r="CB85" s="320">
        <f t="shared" si="97"/>
        <v>0</v>
      </c>
      <c r="CC85" s="427"/>
      <c r="CD85" s="320">
        <f t="shared" si="98"/>
        <v>0</v>
      </c>
      <c r="CE85" s="320">
        <f t="shared" si="99"/>
        <v>0</v>
      </c>
      <c r="CF85" s="320">
        <f t="shared" si="100"/>
        <v>0</v>
      </c>
      <c r="CG85" s="320">
        <f t="shared" si="101"/>
        <v>0</v>
      </c>
      <c r="CH85" s="427"/>
      <c r="CI85" s="427"/>
      <c r="CJ85" s="427"/>
      <c r="CK85" s="427"/>
      <c r="CL85" s="320">
        <f t="shared" si="116"/>
        <v>0</v>
      </c>
      <c r="CM85" s="320">
        <f t="shared" si="102"/>
        <v>0</v>
      </c>
      <c r="CN85" s="320">
        <f t="shared" si="103"/>
        <v>0</v>
      </c>
      <c r="CO85" s="320">
        <f t="shared" si="104"/>
        <v>0</v>
      </c>
      <c r="CP85" s="427"/>
      <c r="CQ85" s="427"/>
      <c r="CR85" s="320">
        <f t="shared" si="105"/>
        <v>0</v>
      </c>
      <c r="CS85" s="320">
        <f t="shared" si="115"/>
        <v>0</v>
      </c>
      <c r="CT85" s="320">
        <f t="shared" si="58"/>
        <v>0</v>
      </c>
      <c r="CU85" s="320">
        <f t="shared" si="59"/>
        <v>0</v>
      </c>
      <c r="CV85" s="427"/>
      <c r="CW85" s="17"/>
      <c r="CX85" s="320">
        <f t="shared" si="106"/>
        <v>0</v>
      </c>
      <c r="CY85" s="320">
        <f t="shared" si="107"/>
        <v>0</v>
      </c>
      <c r="CZ85" s="320">
        <f t="shared" si="108"/>
        <v>0</v>
      </c>
      <c r="DA85" s="17"/>
      <c r="DB85" s="17"/>
      <c r="DC85" s="17"/>
      <c r="DD85" s="31"/>
      <c r="DE85" s="323"/>
      <c r="DF85" s="323"/>
      <c r="DG85" s="323"/>
      <c r="DH85" s="323"/>
      <c r="DI85" s="323"/>
      <c r="DJ85" s="323"/>
      <c r="DK85" s="323"/>
      <c r="DL85" s="323"/>
      <c r="DM85" s="323"/>
      <c r="DN85" s="323"/>
      <c r="DO85" s="323"/>
      <c r="DP85" s="324"/>
      <c r="DQ85" s="288"/>
      <c r="DR85" s="242"/>
      <c r="DS85" s="429">
        <f t="shared" si="109"/>
        <v>0</v>
      </c>
      <c r="DT85" s="429"/>
      <c r="DU85" s="429"/>
      <c r="DV85" s="429"/>
      <c r="DW85" s="429"/>
      <c r="DX85" s="429"/>
      <c r="DY85" s="429"/>
      <c r="DZ85" s="134"/>
      <c r="EA85" s="134"/>
      <c r="EB85" s="134"/>
      <c r="EC85" s="134"/>
      <c r="ED85" s="123"/>
      <c r="EH85" s="170">
        <v>0</v>
      </c>
      <c r="EI85" s="164"/>
      <c r="EJ85" s="165" t="b">
        <f t="shared" si="110"/>
        <v>0</v>
      </c>
      <c r="EK85" s="173"/>
      <c r="EL85" s="173"/>
      <c r="EM85" s="173"/>
      <c r="EN85" s="173"/>
      <c r="EO85" s="173"/>
      <c r="EP85" s="173"/>
      <c r="EQ85" s="172"/>
      <c r="ER85" s="471"/>
      <c r="ES85" s="472"/>
      <c r="ET85" s="472"/>
      <c r="EU85" s="472"/>
      <c r="EV85" s="473"/>
      <c r="EZ85" s="393" t="s">
        <v>108</v>
      </c>
      <c r="FA85" s="393" t="s">
        <v>108</v>
      </c>
      <c r="FB85" s="389">
        <v>1801</v>
      </c>
      <c r="FC85" s="389">
        <v>1917</v>
      </c>
      <c r="FD85" s="389">
        <v>1983</v>
      </c>
      <c r="FE85" s="389">
        <v>2046</v>
      </c>
      <c r="FF85" s="389">
        <v>2069</v>
      </c>
      <c r="FG85" s="390">
        <v>6.8857589984350539E-3</v>
      </c>
      <c r="FH85" s="390">
        <v>6.3540090771558241E-3</v>
      </c>
      <c r="FI85" s="390">
        <v>2.2482893450635386E-3</v>
      </c>
      <c r="FJ85" s="391" t="s">
        <v>1389</v>
      </c>
      <c r="FK85" s="391">
        <v>-0.64616208164595257</v>
      </c>
      <c r="FL85" s="31" t="s">
        <v>1394</v>
      </c>
      <c r="FN85" s="128" t="s">
        <v>1548</v>
      </c>
      <c r="FO85" s="128" t="s">
        <v>1549</v>
      </c>
      <c r="FP85" s="128"/>
    </row>
    <row r="86" spans="1:177" ht="22" hidden="1" customHeight="1" x14ac:dyDescent="0.2">
      <c r="A86" s="13" t="s">
        <v>7</v>
      </c>
      <c r="B86" s="21" t="s">
        <v>77</v>
      </c>
      <c r="C86" s="21"/>
      <c r="D86" s="21"/>
      <c r="E86" s="128" t="s">
        <v>109</v>
      </c>
      <c r="F86" s="15"/>
      <c r="G86" s="15" t="s">
        <v>634</v>
      </c>
      <c r="H86" s="95">
        <f t="shared" si="118"/>
        <v>1</v>
      </c>
      <c r="I86" s="95">
        <f t="shared" si="69"/>
        <v>0</v>
      </c>
      <c r="J86" s="95"/>
      <c r="K86" s="256">
        <f t="shared" si="70"/>
        <v>1</v>
      </c>
      <c r="L86" s="278">
        <v>0</v>
      </c>
      <c r="M86" s="25"/>
      <c r="N86" s="89"/>
      <c r="O86" s="144" t="str">
        <f t="shared" si="71"/>
        <v>_x000D__x000D_</v>
      </c>
      <c r="P86" s="144"/>
      <c r="Q86" s="55"/>
      <c r="R86" s="64" t="s">
        <v>918</v>
      </c>
      <c r="S86" s="425"/>
      <c r="T86" s="300" t="s">
        <v>834</v>
      </c>
      <c r="U86" s="300" t="s">
        <v>834</v>
      </c>
      <c r="V86" s="300" t="s">
        <v>834</v>
      </c>
      <c r="W86" s="258"/>
      <c r="X86" s="307" t="s">
        <v>834</v>
      </c>
      <c r="Y86" s="274"/>
      <c r="Z86" s="426"/>
      <c r="AA86" s="320">
        <f t="shared" si="64"/>
        <v>0</v>
      </c>
      <c r="AB86" s="320">
        <f t="shared" si="72"/>
        <v>0</v>
      </c>
      <c r="AC86" s="320">
        <f t="shared" si="73"/>
        <v>0</v>
      </c>
      <c r="AD86" s="320">
        <f t="shared" si="74"/>
        <v>0</v>
      </c>
      <c r="AE86" s="320">
        <f t="shared" si="111"/>
        <v>0</v>
      </c>
      <c r="AF86" s="320">
        <f t="shared" si="75"/>
        <v>0</v>
      </c>
      <c r="AG86" s="320">
        <f t="shared" si="63"/>
        <v>0</v>
      </c>
      <c r="AH86" s="427"/>
      <c r="AI86" s="320">
        <f t="shared" si="76"/>
        <v>0</v>
      </c>
      <c r="AJ86" s="320">
        <f t="shared" si="77"/>
        <v>0</v>
      </c>
      <c r="AK86" s="320">
        <f t="shared" si="78"/>
        <v>0</v>
      </c>
      <c r="AL86" s="320">
        <f t="shared" si="79"/>
        <v>0</v>
      </c>
      <c r="AM86" s="320">
        <f t="shared" si="80"/>
        <v>0</v>
      </c>
      <c r="AN86" s="320">
        <f t="shared" si="81"/>
        <v>0</v>
      </c>
      <c r="AO86" s="427"/>
      <c r="AP86" s="320">
        <f t="shared" si="112"/>
        <v>0</v>
      </c>
      <c r="AQ86" s="320">
        <f t="shared" si="82"/>
        <v>0</v>
      </c>
      <c r="AR86" s="320">
        <f t="shared" si="83"/>
        <v>0</v>
      </c>
      <c r="AS86" s="320">
        <f t="shared" si="84"/>
        <v>0</v>
      </c>
      <c r="AT86" s="320">
        <f t="shared" si="85"/>
        <v>0</v>
      </c>
      <c r="AU86" s="320">
        <f t="shared" si="86"/>
        <v>0</v>
      </c>
      <c r="AV86" s="427"/>
      <c r="AW86" s="320">
        <f t="shared" si="87"/>
        <v>0</v>
      </c>
      <c r="AX86" s="320">
        <f t="shared" si="88"/>
        <v>0</v>
      </c>
      <c r="AY86" s="320">
        <f t="shared" si="89"/>
        <v>0</v>
      </c>
      <c r="AZ86" s="320">
        <f t="shared" si="90"/>
        <v>0</v>
      </c>
      <c r="BA86" s="17"/>
      <c r="BB86" s="17" t="s">
        <v>834</v>
      </c>
      <c r="BC86" s="17"/>
      <c r="BD86" s="17"/>
      <c r="BE86" s="17"/>
      <c r="BF86" s="17"/>
      <c r="BG86" s="428">
        <f t="shared" si="65"/>
        <v>0</v>
      </c>
      <c r="BH86" s="17"/>
      <c r="BI86" s="17"/>
      <c r="BJ86" s="17"/>
      <c r="BK86" s="17"/>
      <c r="BL86" s="17"/>
      <c r="BM86" s="17"/>
      <c r="BN86" s="320">
        <f t="shared" si="66"/>
        <v>0</v>
      </c>
      <c r="BO86" s="320">
        <f t="shared" si="117"/>
        <v>0</v>
      </c>
      <c r="BP86" s="427"/>
      <c r="BQ86" s="427"/>
      <c r="BR86" s="320">
        <f t="shared" si="113"/>
        <v>0</v>
      </c>
      <c r="BS86" s="320">
        <f>IF(ISNUMBER(SEARCH("1",$BP86)),1,0)</f>
        <v>0</v>
      </c>
      <c r="BT86" s="427"/>
      <c r="BU86" s="320">
        <f t="shared" si="92"/>
        <v>0</v>
      </c>
      <c r="BV86" s="320">
        <f t="shared" si="93"/>
        <v>0</v>
      </c>
      <c r="BW86" s="320">
        <f t="shared" si="114"/>
        <v>0</v>
      </c>
      <c r="BX86" s="427"/>
      <c r="BY86" s="320">
        <f t="shared" si="94"/>
        <v>0</v>
      </c>
      <c r="BZ86" s="320">
        <f t="shared" si="95"/>
        <v>0</v>
      </c>
      <c r="CA86" s="320">
        <f t="shared" si="96"/>
        <v>0</v>
      </c>
      <c r="CB86" s="320">
        <f t="shared" si="97"/>
        <v>0</v>
      </c>
      <c r="CC86" s="427"/>
      <c r="CD86" s="320">
        <f t="shared" si="98"/>
        <v>0</v>
      </c>
      <c r="CE86" s="320">
        <f t="shared" si="99"/>
        <v>0</v>
      </c>
      <c r="CF86" s="320">
        <f t="shared" si="100"/>
        <v>0</v>
      </c>
      <c r="CG86" s="320">
        <f t="shared" si="101"/>
        <v>0</v>
      </c>
      <c r="CH86" s="427"/>
      <c r="CI86" s="427"/>
      <c r="CJ86" s="427"/>
      <c r="CK86" s="427"/>
      <c r="CL86" s="320">
        <f t="shared" si="116"/>
        <v>0</v>
      </c>
      <c r="CM86" s="320">
        <f t="shared" si="102"/>
        <v>0</v>
      </c>
      <c r="CN86" s="320">
        <f t="shared" si="103"/>
        <v>0</v>
      </c>
      <c r="CO86" s="320">
        <f t="shared" si="104"/>
        <v>0</v>
      </c>
      <c r="CP86" s="427"/>
      <c r="CQ86" s="427"/>
      <c r="CR86" s="320">
        <f t="shared" si="105"/>
        <v>0</v>
      </c>
      <c r="CS86" s="320">
        <f t="shared" si="115"/>
        <v>0</v>
      </c>
      <c r="CT86" s="320">
        <f t="shared" si="58"/>
        <v>0</v>
      </c>
      <c r="CU86" s="320">
        <f t="shared" si="59"/>
        <v>0</v>
      </c>
      <c r="CV86" s="427"/>
      <c r="CW86" s="17"/>
      <c r="CX86" s="320">
        <f t="shared" si="106"/>
        <v>0</v>
      </c>
      <c r="CY86" s="320">
        <f t="shared" si="107"/>
        <v>0</v>
      </c>
      <c r="CZ86" s="320">
        <f t="shared" si="108"/>
        <v>0</v>
      </c>
      <c r="DA86" s="17"/>
      <c r="DB86" s="17"/>
      <c r="DC86" s="17"/>
      <c r="DD86" s="31"/>
      <c r="DE86" s="321"/>
      <c r="DF86" s="321"/>
      <c r="DG86" s="321"/>
      <c r="DH86" s="321"/>
      <c r="DI86" s="321"/>
      <c r="DJ86" s="321"/>
      <c r="DK86" s="321"/>
      <c r="DL86" s="321"/>
      <c r="DM86" s="321"/>
      <c r="DN86" s="321"/>
      <c r="DO86" s="321"/>
      <c r="DP86" s="322"/>
      <c r="DQ86" s="288"/>
      <c r="DR86" s="241"/>
      <c r="DS86" s="429">
        <f t="shared" si="109"/>
        <v>0</v>
      </c>
      <c r="DT86" s="429"/>
      <c r="DU86" s="429"/>
      <c r="DV86" s="429"/>
      <c r="DW86" s="429"/>
      <c r="DX86" s="429"/>
      <c r="DY86" s="429"/>
      <c r="DZ86" s="134"/>
      <c r="EA86" s="134"/>
      <c r="EB86" s="134"/>
      <c r="EC86" s="134"/>
      <c r="ED86" s="123"/>
      <c r="EH86" s="44">
        <v>1</v>
      </c>
      <c r="EI86" s="45"/>
      <c r="EJ86" s="33" t="b">
        <f t="shared" si="110"/>
        <v>0</v>
      </c>
      <c r="EK86" s="42"/>
      <c r="EL86" s="42"/>
      <c r="EM86" s="42"/>
      <c r="EN86" s="439"/>
      <c r="EO86" s="439"/>
      <c r="EP86" s="439"/>
      <c r="EQ86" s="38"/>
      <c r="ER86" s="440">
        <v>0</v>
      </c>
      <c r="ES86" s="431"/>
      <c r="ET86" s="431" t="s">
        <v>665</v>
      </c>
      <c r="EU86" s="431"/>
      <c r="EV86" s="447"/>
      <c r="EZ86" s="393" t="s">
        <v>109</v>
      </c>
      <c r="FA86" s="393" t="s">
        <v>109</v>
      </c>
      <c r="FB86" s="389">
        <v>16.100000000000001</v>
      </c>
      <c r="FC86" s="389">
        <v>28.8</v>
      </c>
      <c r="FD86" s="389">
        <v>36.5</v>
      </c>
      <c r="FE86" s="389">
        <v>42.7</v>
      </c>
      <c r="FF86" s="389">
        <v>49.2</v>
      </c>
      <c r="FG86" s="390">
        <v>5.347222222222222E-2</v>
      </c>
      <c r="FH86" s="390">
        <v>3.3972602739726042E-2</v>
      </c>
      <c r="FI86" s="390">
        <v>3.0444964871194378E-2</v>
      </c>
      <c r="FJ86" s="391" t="s">
        <v>1389</v>
      </c>
      <c r="FK86" s="391">
        <v>-0.10383772758177875</v>
      </c>
      <c r="FL86" s="31" t="s">
        <v>1394</v>
      </c>
      <c r="FN86" s="128" t="s">
        <v>1550</v>
      </c>
      <c r="FO86" s="128" t="s">
        <v>1551</v>
      </c>
      <c r="FP86" s="128"/>
    </row>
    <row r="87" spans="1:177" ht="22" hidden="1" customHeight="1" x14ac:dyDescent="0.2">
      <c r="A87" s="13" t="s">
        <v>4</v>
      </c>
      <c r="B87" s="14" t="s">
        <v>5</v>
      </c>
      <c r="C87" s="226" t="s">
        <v>1067</v>
      </c>
      <c r="D87" s="14" t="s">
        <v>1068</v>
      </c>
      <c r="E87" s="128" t="s">
        <v>110</v>
      </c>
      <c r="F87" s="15" t="s">
        <v>638</v>
      </c>
      <c r="G87" s="15" t="s">
        <v>635</v>
      </c>
      <c r="H87" s="95">
        <f t="shared" si="118"/>
        <v>0</v>
      </c>
      <c r="I87" s="95">
        <f t="shared" si="69"/>
        <v>2</v>
      </c>
      <c r="J87" s="95">
        <v>2</v>
      </c>
      <c r="K87" s="256">
        <f t="shared" si="70"/>
        <v>4</v>
      </c>
      <c r="L87" s="278" t="s">
        <v>640</v>
      </c>
      <c r="M87" s="25"/>
      <c r="N87" s="443">
        <v>13000000</v>
      </c>
      <c r="O87" s="144" t="str">
        <f t="shared" si="71"/>
        <v>Bring 33% of its geographical area under forest cover eventually_x000D__x000D_Carbon sink of 2.5 to 3 billion tonnes of CO2 equivalent through additional forest and tree cover by 2030.</v>
      </c>
      <c r="P87" s="144" t="str">
        <f>CONCATENATE(V87,R87,X87)</f>
        <v xml:space="preserve">N/A or not found_x000D__x000D_ </v>
      </c>
      <c r="Q87" s="55" t="s">
        <v>520</v>
      </c>
      <c r="R87" s="64" t="s">
        <v>918</v>
      </c>
      <c r="S87" s="446" t="s">
        <v>519</v>
      </c>
      <c r="T87" s="300" t="s">
        <v>995</v>
      </c>
      <c r="U87" s="300" t="s">
        <v>910</v>
      </c>
      <c r="V87" s="300" t="s">
        <v>925</v>
      </c>
      <c r="W87" s="258"/>
      <c r="X87" s="307" t="s">
        <v>924</v>
      </c>
      <c r="Y87" s="274"/>
      <c r="Z87" s="426" t="s">
        <v>320</v>
      </c>
      <c r="AA87" s="320">
        <f t="shared" si="64"/>
        <v>1</v>
      </c>
      <c r="AB87" s="320">
        <f t="shared" si="72"/>
        <v>0</v>
      </c>
      <c r="AC87" s="320">
        <f t="shared" si="73"/>
        <v>1</v>
      </c>
      <c r="AD87" s="320">
        <f t="shared" si="74"/>
        <v>1</v>
      </c>
      <c r="AE87" s="320">
        <f t="shared" si="111"/>
        <v>0</v>
      </c>
      <c r="AF87" s="320">
        <f t="shared" si="75"/>
        <v>0</v>
      </c>
      <c r="AG87" s="320">
        <f t="shared" si="63"/>
        <v>1</v>
      </c>
      <c r="AH87" s="427">
        <v>0</v>
      </c>
      <c r="AI87" s="320">
        <f t="shared" si="76"/>
        <v>0</v>
      </c>
      <c r="AJ87" s="320">
        <f t="shared" si="77"/>
        <v>0</v>
      </c>
      <c r="AK87" s="320">
        <f t="shared" si="78"/>
        <v>0</v>
      </c>
      <c r="AL87" s="320">
        <f t="shared" si="79"/>
        <v>0</v>
      </c>
      <c r="AM87" s="320">
        <f t="shared" si="80"/>
        <v>0</v>
      </c>
      <c r="AN87" s="320">
        <f t="shared" si="81"/>
        <v>0</v>
      </c>
      <c r="AO87" s="427" t="s">
        <v>221</v>
      </c>
      <c r="AP87" s="320">
        <f t="shared" si="112"/>
        <v>1</v>
      </c>
      <c r="AQ87" s="320">
        <f t="shared" si="82"/>
        <v>1</v>
      </c>
      <c r="AR87" s="320">
        <f t="shared" si="83"/>
        <v>0</v>
      </c>
      <c r="AS87" s="320">
        <f t="shared" si="84"/>
        <v>0</v>
      </c>
      <c r="AT87" s="320">
        <f t="shared" si="85"/>
        <v>0</v>
      </c>
      <c r="AU87" s="320">
        <f t="shared" si="86"/>
        <v>0</v>
      </c>
      <c r="AV87" s="427">
        <v>0</v>
      </c>
      <c r="AW87" s="320">
        <f t="shared" si="87"/>
        <v>0</v>
      </c>
      <c r="AX87" s="320">
        <f t="shared" si="88"/>
        <v>0</v>
      </c>
      <c r="AY87" s="320">
        <f t="shared" si="89"/>
        <v>0</v>
      </c>
      <c r="AZ87" s="320">
        <f t="shared" si="90"/>
        <v>0</v>
      </c>
      <c r="BA87" s="17">
        <v>1</v>
      </c>
      <c r="BB87" s="17" t="s">
        <v>1276</v>
      </c>
      <c r="BC87" s="17">
        <v>0</v>
      </c>
      <c r="BD87" s="17">
        <v>1</v>
      </c>
      <c r="BE87" s="17">
        <v>0</v>
      </c>
      <c r="BF87" s="17">
        <v>0</v>
      </c>
      <c r="BG87" s="428">
        <f t="shared" si="65"/>
        <v>0</v>
      </c>
      <c r="BH87" s="17">
        <v>1</v>
      </c>
      <c r="BI87" s="17">
        <v>1</v>
      </c>
      <c r="BJ87" s="17" t="s">
        <v>910</v>
      </c>
      <c r="BK87" s="17"/>
      <c r="BL87" s="17">
        <v>0</v>
      </c>
      <c r="BM87" s="17" t="s">
        <v>834</v>
      </c>
      <c r="BN87" s="320">
        <f t="shared" si="66"/>
        <v>0</v>
      </c>
      <c r="BO87" s="320">
        <f t="shared" si="117"/>
        <v>0</v>
      </c>
      <c r="BP87" s="427">
        <v>1</v>
      </c>
      <c r="BQ87" s="427" t="s">
        <v>1228</v>
      </c>
      <c r="BR87" s="320">
        <f t="shared" si="113"/>
        <v>1</v>
      </c>
      <c r="BS87" s="320">
        <f>IF(ISNUMBER(SEARCH("t",$BP87)),1,0)</f>
        <v>0</v>
      </c>
      <c r="BT87" s="427">
        <v>0</v>
      </c>
      <c r="BU87" s="320">
        <f t="shared" si="92"/>
        <v>0</v>
      </c>
      <c r="BV87" s="320">
        <f t="shared" si="93"/>
        <v>0</v>
      </c>
      <c r="BW87" s="320">
        <f t="shared" si="114"/>
        <v>0</v>
      </c>
      <c r="BX87" s="427" t="s">
        <v>315</v>
      </c>
      <c r="BY87" s="320">
        <f t="shared" si="94"/>
        <v>1</v>
      </c>
      <c r="BZ87" s="320">
        <f t="shared" si="95"/>
        <v>0</v>
      </c>
      <c r="CA87" s="320">
        <f t="shared" si="96"/>
        <v>1</v>
      </c>
      <c r="CB87" s="320">
        <f t="shared" si="97"/>
        <v>0</v>
      </c>
      <c r="CC87" s="427">
        <v>1</v>
      </c>
      <c r="CD87" s="320">
        <f t="shared" si="98"/>
        <v>1</v>
      </c>
      <c r="CE87" s="320">
        <f t="shared" si="99"/>
        <v>0</v>
      </c>
      <c r="CF87" s="320">
        <f t="shared" si="100"/>
        <v>0</v>
      </c>
      <c r="CG87" s="320">
        <f t="shared" si="101"/>
        <v>0</v>
      </c>
      <c r="CH87" s="427">
        <v>1</v>
      </c>
      <c r="CI87" s="427">
        <v>0</v>
      </c>
      <c r="CJ87" s="427">
        <v>0</v>
      </c>
      <c r="CK87" s="427" t="s">
        <v>317</v>
      </c>
      <c r="CL87" s="320">
        <f t="shared" si="116"/>
        <v>1</v>
      </c>
      <c r="CM87" s="320">
        <f t="shared" si="102"/>
        <v>1</v>
      </c>
      <c r="CN87" s="320">
        <f t="shared" si="103"/>
        <v>0</v>
      </c>
      <c r="CO87" s="320">
        <f t="shared" si="104"/>
        <v>0</v>
      </c>
      <c r="CP87" s="427">
        <v>1</v>
      </c>
      <c r="CQ87" s="427" t="s">
        <v>317</v>
      </c>
      <c r="CR87" s="320">
        <f t="shared" si="105"/>
        <v>1</v>
      </c>
      <c r="CS87" s="320">
        <f t="shared" si="115"/>
        <v>0</v>
      </c>
      <c r="CT87" s="320">
        <f t="shared" si="58"/>
        <v>1</v>
      </c>
      <c r="CU87" s="320">
        <f t="shared" si="59"/>
        <v>0</v>
      </c>
      <c r="CV87" s="427">
        <v>1</v>
      </c>
      <c r="CW87" s="17">
        <v>0</v>
      </c>
      <c r="CX87" s="320">
        <f t="shared" si="106"/>
        <v>0</v>
      </c>
      <c r="CY87" s="320">
        <f t="shared" si="107"/>
        <v>0</v>
      </c>
      <c r="CZ87" s="320">
        <f t="shared" si="108"/>
        <v>0</v>
      </c>
      <c r="DA87" s="17">
        <v>1</v>
      </c>
      <c r="DB87" s="17">
        <v>0</v>
      </c>
      <c r="DC87" s="17">
        <v>1</v>
      </c>
      <c r="DD87" s="31"/>
      <c r="DE87" s="323" t="s">
        <v>424</v>
      </c>
      <c r="DF87" s="323" t="s">
        <v>462</v>
      </c>
      <c r="DG87" s="323" t="s">
        <v>463</v>
      </c>
      <c r="DH87" s="323" t="s">
        <v>424</v>
      </c>
      <c r="DI87" s="323"/>
      <c r="DJ87" s="323" t="s">
        <v>464</v>
      </c>
      <c r="DK87" s="323" t="s">
        <v>465</v>
      </c>
      <c r="DL87" s="323" t="s">
        <v>466</v>
      </c>
      <c r="DM87" s="323" t="s">
        <v>467</v>
      </c>
      <c r="DN87" s="323"/>
      <c r="DO87" s="323"/>
      <c r="DP87" s="324"/>
      <c r="DQ87" s="288"/>
      <c r="DR87" s="240">
        <f>SUM(DS87:DX87)/6</f>
        <v>0.36477455716586155</v>
      </c>
      <c r="DS87" s="429">
        <f t="shared" si="109"/>
        <v>0.2608695652173913</v>
      </c>
      <c r="DT87" s="429">
        <f>SUM(BA87:BE87,BG87)/5</f>
        <v>0.4</v>
      </c>
      <c r="DU87" s="429">
        <f>SUM(BI87,BO87,BS87,BU87:BW87)/6</f>
        <v>0.16666666666666666</v>
      </c>
      <c r="DV87" s="429">
        <f>SUM(BY87-CB87,CD87-CG87)/8</f>
        <v>0.25</v>
      </c>
      <c r="DW87" s="429">
        <f>SUM(CH87:CJ87,CL87:CO87,BN87,BR87)/9</f>
        <v>0.44444444444444442</v>
      </c>
      <c r="DX87" s="429">
        <f>SUM(CP87,CR87:CV87)/6</f>
        <v>0.66666666666666663</v>
      </c>
      <c r="DY87" s="444"/>
      <c r="DZ87" s="137" t="s">
        <v>725</v>
      </c>
      <c r="EA87" s="135"/>
      <c r="EB87" s="137" t="s">
        <v>746</v>
      </c>
      <c r="EC87" s="137" t="s">
        <v>754</v>
      </c>
      <c r="ED87" s="124">
        <v>2</v>
      </c>
      <c r="EH87" s="46">
        <v>0</v>
      </c>
      <c r="EI87" s="45"/>
      <c r="EJ87" s="33" t="e">
        <f t="shared" si="110"/>
        <v>#VALUE!</v>
      </c>
      <c r="EK87" s="42"/>
      <c r="EL87" s="42"/>
      <c r="EM87" s="42"/>
      <c r="EN87" s="439"/>
      <c r="EO87" s="439"/>
      <c r="EP87" s="439"/>
      <c r="EQ87" s="47"/>
      <c r="ER87" s="440">
        <v>1</v>
      </c>
      <c r="ES87" s="431"/>
      <c r="ET87" s="431" t="s">
        <v>670</v>
      </c>
      <c r="EU87" s="431"/>
      <c r="EV87" s="447"/>
      <c r="EZ87" s="393" t="s">
        <v>110</v>
      </c>
      <c r="FA87" s="393" t="s">
        <v>110</v>
      </c>
      <c r="FB87" s="389">
        <v>63939</v>
      </c>
      <c r="FC87" s="389">
        <v>65390</v>
      </c>
      <c r="FD87" s="389">
        <v>67709</v>
      </c>
      <c r="FE87" s="389">
        <v>69790</v>
      </c>
      <c r="FF87" s="389">
        <v>70682</v>
      </c>
      <c r="FG87" s="390">
        <v>7.0928276494876888E-3</v>
      </c>
      <c r="FH87" s="390">
        <v>6.146893322896513E-3</v>
      </c>
      <c r="FI87" s="390">
        <v>2.5562401490184837E-3</v>
      </c>
      <c r="FJ87" s="391" t="s">
        <v>1389</v>
      </c>
      <c r="FK87" s="391">
        <v>-0.58414112385897998</v>
      </c>
      <c r="FL87" s="31" t="s">
        <v>1394</v>
      </c>
      <c r="FN87" s="128" t="s">
        <v>1552</v>
      </c>
      <c r="FO87" s="128" t="s">
        <v>1553</v>
      </c>
      <c r="FP87" s="128"/>
    </row>
    <row r="88" spans="1:177" ht="22" hidden="1" customHeight="1" x14ac:dyDescent="0.2">
      <c r="A88" s="13" t="s">
        <v>4</v>
      </c>
      <c r="B88" s="14" t="s">
        <v>47</v>
      </c>
      <c r="C88" s="14"/>
      <c r="D88" s="14" t="s">
        <v>1068</v>
      </c>
      <c r="E88" s="128" t="s">
        <v>111</v>
      </c>
      <c r="F88" s="15" t="s">
        <v>638</v>
      </c>
      <c r="G88" s="15" t="s">
        <v>634</v>
      </c>
      <c r="H88" s="91">
        <f t="shared" si="118"/>
        <v>1</v>
      </c>
      <c r="I88" s="95">
        <f t="shared" si="69"/>
        <v>2</v>
      </c>
      <c r="J88" s="91"/>
      <c r="K88" s="256">
        <f t="shared" si="70"/>
        <v>3</v>
      </c>
      <c r="L88" s="101" t="s">
        <v>678</v>
      </c>
      <c r="M88" s="99">
        <v>1</v>
      </c>
      <c r="N88" s="89"/>
      <c r="O88" s="144" t="e">
        <f>CONCATENATE(#REF!,R88,S88)</f>
        <v>#REF!</v>
      </c>
      <c r="P88" s="144" t="str">
        <f>CONCATENATE(V88,R88,X88)</f>
        <v xml:space="preserve">N/A or not found_x000D__x000D_ </v>
      </c>
      <c r="Q88" s="59"/>
      <c r="R88" s="64" t="s">
        <v>918</v>
      </c>
      <c r="S88" s="425"/>
      <c r="T88" s="300" t="s">
        <v>996</v>
      </c>
      <c r="U88" s="300" t="s">
        <v>996</v>
      </c>
      <c r="V88" s="300" t="s">
        <v>925</v>
      </c>
      <c r="W88" s="258"/>
      <c r="X88" s="307" t="s">
        <v>924</v>
      </c>
      <c r="Y88" s="274"/>
      <c r="Z88" s="426" t="s">
        <v>321</v>
      </c>
      <c r="AA88" s="320">
        <f t="shared" si="64"/>
        <v>1</v>
      </c>
      <c r="AB88" s="320">
        <f t="shared" si="72"/>
        <v>0</v>
      </c>
      <c r="AC88" s="320">
        <f t="shared" si="73"/>
        <v>1</v>
      </c>
      <c r="AD88" s="320">
        <f t="shared" si="74"/>
        <v>0</v>
      </c>
      <c r="AE88" s="320">
        <f t="shared" si="111"/>
        <v>1</v>
      </c>
      <c r="AF88" s="320">
        <f t="shared" si="75"/>
        <v>1</v>
      </c>
      <c r="AG88" s="320">
        <f t="shared" si="63"/>
        <v>1</v>
      </c>
      <c r="AH88" s="427">
        <v>1</v>
      </c>
      <c r="AI88" s="320">
        <f t="shared" si="76"/>
        <v>1</v>
      </c>
      <c r="AJ88" s="320">
        <f t="shared" si="77"/>
        <v>0</v>
      </c>
      <c r="AK88" s="320">
        <f t="shared" si="78"/>
        <v>0</v>
      </c>
      <c r="AL88" s="320">
        <f t="shared" si="79"/>
        <v>0</v>
      </c>
      <c r="AM88" s="320">
        <f t="shared" si="80"/>
        <v>0</v>
      </c>
      <c r="AN88" s="320">
        <f t="shared" si="81"/>
        <v>0</v>
      </c>
      <c r="AO88" s="427">
        <v>0</v>
      </c>
      <c r="AP88" s="320">
        <f t="shared" si="112"/>
        <v>0</v>
      </c>
      <c r="AQ88" s="320">
        <f t="shared" si="82"/>
        <v>0</v>
      </c>
      <c r="AR88" s="320">
        <f t="shared" si="83"/>
        <v>0</v>
      </c>
      <c r="AS88" s="320">
        <f t="shared" si="84"/>
        <v>0</v>
      </c>
      <c r="AT88" s="320">
        <f t="shared" si="85"/>
        <v>0</v>
      </c>
      <c r="AU88" s="320">
        <f t="shared" si="86"/>
        <v>0</v>
      </c>
      <c r="AV88" s="427">
        <v>0</v>
      </c>
      <c r="AW88" s="320">
        <f t="shared" si="87"/>
        <v>0</v>
      </c>
      <c r="AX88" s="320">
        <f t="shared" si="88"/>
        <v>0</v>
      </c>
      <c r="AY88" s="320">
        <f t="shared" si="89"/>
        <v>0</v>
      </c>
      <c r="AZ88" s="320">
        <f t="shared" si="90"/>
        <v>0</v>
      </c>
      <c r="BA88" s="17">
        <v>0</v>
      </c>
      <c r="BB88" s="17" t="s">
        <v>1274</v>
      </c>
      <c r="BC88" s="17">
        <v>0</v>
      </c>
      <c r="BD88" s="17">
        <v>1</v>
      </c>
      <c r="BE88" s="17">
        <v>0</v>
      </c>
      <c r="BF88" s="17">
        <v>0</v>
      </c>
      <c r="BG88" s="428">
        <f t="shared" si="65"/>
        <v>0</v>
      </c>
      <c r="BH88" s="17">
        <v>1</v>
      </c>
      <c r="BI88" s="17">
        <v>0</v>
      </c>
      <c r="BJ88" s="17" t="s">
        <v>1219</v>
      </c>
      <c r="BK88" s="17"/>
      <c r="BL88" s="17">
        <v>1</v>
      </c>
      <c r="BM88" s="17" t="s">
        <v>1220</v>
      </c>
      <c r="BN88" s="320">
        <f t="shared" si="66"/>
        <v>1</v>
      </c>
      <c r="BO88" s="320">
        <f t="shared" si="117"/>
        <v>0</v>
      </c>
      <c r="BP88" s="427">
        <v>0</v>
      </c>
      <c r="BQ88" s="427" t="s">
        <v>1221</v>
      </c>
      <c r="BR88" s="320">
        <f t="shared" si="113"/>
        <v>0</v>
      </c>
      <c r="BS88" s="320">
        <f>IF(ISNUMBER(SEARCH("t",$BP88)),1,0)</f>
        <v>0</v>
      </c>
      <c r="BT88" s="427">
        <v>1</v>
      </c>
      <c r="BU88" s="320">
        <f t="shared" si="92"/>
        <v>1</v>
      </c>
      <c r="BV88" s="320">
        <f t="shared" si="93"/>
        <v>0</v>
      </c>
      <c r="BW88" s="320">
        <f t="shared" si="114"/>
        <v>0</v>
      </c>
      <c r="BX88" s="427" t="s">
        <v>315</v>
      </c>
      <c r="BY88" s="320">
        <f t="shared" si="94"/>
        <v>1</v>
      </c>
      <c r="BZ88" s="320">
        <f t="shared" si="95"/>
        <v>0</v>
      </c>
      <c r="CA88" s="320">
        <f t="shared" si="96"/>
        <v>1</v>
      </c>
      <c r="CB88" s="320">
        <f t="shared" si="97"/>
        <v>0</v>
      </c>
      <c r="CC88" s="427">
        <v>0</v>
      </c>
      <c r="CD88" s="320">
        <f t="shared" si="98"/>
        <v>0</v>
      </c>
      <c r="CE88" s="320">
        <f t="shared" si="99"/>
        <v>0</v>
      </c>
      <c r="CF88" s="320">
        <f t="shared" si="100"/>
        <v>0</v>
      </c>
      <c r="CG88" s="320">
        <f t="shared" si="101"/>
        <v>0</v>
      </c>
      <c r="CH88" s="427">
        <v>1</v>
      </c>
      <c r="CI88" s="427">
        <v>0</v>
      </c>
      <c r="CJ88" s="427">
        <v>0</v>
      </c>
      <c r="CK88" s="427">
        <v>0</v>
      </c>
      <c r="CL88" s="320">
        <f t="shared" si="116"/>
        <v>0</v>
      </c>
      <c r="CM88" s="320">
        <f t="shared" si="102"/>
        <v>0</v>
      </c>
      <c r="CN88" s="320">
        <f t="shared" si="103"/>
        <v>0</v>
      </c>
      <c r="CO88" s="320">
        <f t="shared" si="104"/>
        <v>0</v>
      </c>
      <c r="CP88" s="427">
        <v>0</v>
      </c>
      <c r="CQ88" s="427">
        <v>2</v>
      </c>
      <c r="CR88" s="320">
        <f t="shared" si="105"/>
        <v>0</v>
      </c>
      <c r="CS88" s="320">
        <f t="shared" si="115"/>
        <v>0</v>
      </c>
      <c r="CT88" s="320">
        <f t="shared" si="58"/>
        <v>1</v>
      </c>
      <c r="CU88" s="320">
        <f t="shared" si="59"/>
        <v>0</v>
      </c>
      <c r="CV88" s="427">
        <v>0</v>
      </c>
      <c r="CW88" s="17">
        <v>0</v>
      </c>
      <c r="CX88" s="320">
        <f t="shared" si="106"/>
        <v>0</v>
      </c>
      <c r="CY88" s="320">
        <f t="shared" si="107"/>
        <v>0</v>
      </c>
      <c r="CZ88" s="320">
        <f t="shared" si="108"/>
        <v>0</v>
      </c>
      <c r="DA88" s="17">
        <v>1</v>
      </c>
      <c r="DB88" s="17">
        <v>1</v>
      </c>
      <c r="DC88" s="17">
        <v>1</v>
      </c>
      <c r="DD88" s="31"/>
      <c r="DE88" s="321" t="s">
        <v>392</v>
      </c>
      <c r="DF88" s="321" t="s">
        <v>468</v>
      </c>
      <c r="DG88" s="321" t="s">
        <v>469</v>
      </c>
      <c r="DH88" s="321" t="s">
        <v>424</v>
      </c>
      <c r="DI88" s="321"/>
      <c r="DJ88" s="321" t="s">
        <v>470</v>
      </c>
      <c r="DK88" s="321" t="s">
        <v>471</v>
      </c>
      <c r="DL88" s="321" t="s">
        <v>472</v>
      </c>
      <c r="DM88" s="321" t="s">
        <v>473</v>
      </c>
      <c r="DN88" s="321" t="s">
        <v>474</v>
      </c>
      <c r="DO88" s="321"/>
      <c r="DP88" s="322"/>
      <c r="DQ88" s="288"/>
      <c r="DR88" s="240">
        <f>SUM(DS88:DX88)/6</f>
        <v>0.19023752012882447</v>
      </c>
      <c r="DS88" s="429">
        <f t="shared" si="109"/>
        <v>0.2608695652173913</v>
      </c>
      <c r="DT88" s="429">
        <f>SUM(BA88:BE88,BG88)/5</f>
        <v>0.2</v>
      </c>
      <c r="DU88" s="429">
        <f>SUM(BI88,BO88,BS88,BU88:BW88)/6</f>
        <v>0.16666666666666666</v>
      </c>
      <c r="DV88" s="429">
        <f>SUM(BY88-CB88,CD88-CG88)/8</f>
        <v>0.125</v>
      </c>
      <c r="DW88" s="429">
        <f>SUM(CH88:CJ88,CL88:CO88,BN88,BR88)/9</f>
        <v>0.22222222222222221</v>
      </c>
      <c r="DX88" s="429">
        <f>SUM(CP88,CR88:CV88)/6</f>
        <v>0.16666666666666666</v>
      </c>
      <c r="DY88" s="444"/>
      <c r="DZ88" s="137" t="s">
        <v>735</v>
      </c>
      <c r="EA88" s="135"/>
      <c r="EB88" s="137" t="s">
        <v>744</v>
      </c>
      <c r="EC88" s="137" t="s">
        <v>768</v>
      </c>
      <c r="ED88" s="124">
        <v>2</v>
      </c>
      <c r="EH88" s="44"/>
      <c r="EI88" s="45"/>
      <c r="EJ88" s="33" t="e">
        <f t="shared" si="110"/>
        <v>#VALUE!</v>
      </c>
      <c r="EK88" s="42"/>
      <c r="EL88" s="42"/>
      <c r="EM88" s="42"/>
      <c r="EN88" s="439"/>
      <c r="EO88" s="439"/>
      <c r="EP88" s="439"/>
      <c r="EQ88" s="38"/>
      <c r="ER88" s="447">
        <v>1</v>
      </c>
      <c r="ES88" s="447"/>
      <c r="ET88" s="447"/>
      <c r="EU88" s="447"/>
      <c r="EV88" s="447"/>
      <c r="EZ88" s="393" t="s">
        <v>111</v>
      </c>
      <c r="FA88" s="393" t="s">
        <v>111</v>
      </c>
      <c r="FB88" s="389">
        <v>118545</v>
      </c>
      <c r="FC88" s="389">
        <v>99409</v>
      </c>
      <c r="FD88" s="389">
        <v>97857</v>
      </c>
      <c r="FE88" s="389">
        <v>94432</v>
      </c>
      <c r="FF88" s="389">
        <v>91010</v>
      </c>
      <c r="FG88" s="390">
        <v>-3.1224537013751271E-3</v>
      </c>
      <c r="FH88" s="390">
        <v>-7.0000102189930209E-3</v>
      </c>
      <c r="FI88" s="390">
        <v>-7.2475432056929856E-3</v>
      </c>
      <c r="FJ88" s="391">
        <v>3.5361803619705763E-2</v>
      </c>
      <c r="FK88" s="391" t="s">
        <v>1386</v>
      </c>
      <c r="FL88" s="31" t="s">
        <v>1379</v>
      </c>
      <c r="FN88" s="128" t="s">
        <v>1554</v>
      </c>
      <c r="FO88" s="128" t="s">
        <v>1555</v>
      </c>
      <c r="FP88" s="128"/>
    </row>
    <row r="89" spans="1:177" ht="22" customHeight="1" x14ac:dyDescent="0.2">
      <c r="A89" s="13" t="s">
        <v>4</v>
      </c>
      <c r="B89" s="14" t="s">
        <v>5</v>
      </c>
      <c r="C89" s="14"/>
      <c r="D89" s="14"/>
      <c r="E89" s="128" t="s">
        <v>1795</v>
      </c>
      <c r="F89" s="15" t="s">
        <v>1359</v>
      </c>
      <c r="G89" s="15" t="s">
        <v>635</v>
      </c>
      <c r="H89" s="95">
        <f t="shared" si="118"/>
        <v>0</v>
      </c>
      <c r="I89" s="95">
        <f t="shared" si="69"/>
        <v>0</v>
      </c>
      <c r="J89" s="95"/>
      <c r="K89" s="256">
        <f t="shared" si="70"/>
        <v>0</v>
      </c>
      <c r="L89" s="278">
        <v>0</v>
      </c>
      <c r="M89" s="25"/>
      <c r="N89" s="89"/>
      <c r="O89" s="144" t="str">
        <f t="shared" ref="O89:O119" si="119">CONCATENATE(Q89,R89,S89)</f>
        <v>N/A or not found_x000D__x000D_</v>
      </c>
      <c r="P89" s="144"/>
      <c r="Q89" s="360" t="s">
        <v>925</v>
      </c>
      <c r="R89" s="64" t="s">
        <v>918</v>
      </c>
      <c r="S89" s="425"/>
      <c r="T89" s="300" t="s">
        <v>1785</v>
      </c>
      <c r="U89" s="300" t="s">
        <v>1318</v>
      </c>
      <c r="V89" s="309" t="s">
        <v>925</v>
      </c>
      <c r="W89" s="258"/>
      <c r="X89" s="307" t="s">
        <v>1787</v>
      </c>
      <c r="Y89" s="274"/>
      <c r="Z89" s="426" t="s">
        <v>1784</v>
      </c>
      <c r="AA89" s="320">
        <f t="shared" si="64"/>
        <v>1</v>
      </c>
      <c r="AB89" s="320">
        <f t="shared" si="72"/>
        <v>1</v>
      </c>
      <c r="AC89" s="320">
        <f t="shared" si="73"/>
        <v>0</v>
      </c>
      <c r="AD89" s="320">
        <f t="shared" si="74"/>
        <v>0</v>
      </c>
      <c r="AE89" s="320">
        <f t="shared" si="111"/>
        <v>1</v>
      </c>
      <c r="AF89" s="320">
        <f t="shared" si="75"/>
        <v>0</v>
      </c>
      <c r="AG89" s="320">
        <f t="shared" si="63"/>
        <v>1</v>
      </c>
      <c r="AH89" s="427">
        <v>0</v>
      </c>
      <c r="AI89" s="320">
        <f t="shared" si="76"/>
        <v>0</v>
      </c>
      <c r="AJ89" s="320">
        <f t="shared" si="77"/>
        <v>0</v>
      </c>
      <c r="AK89" s="320">
        <f t="shared" si="78"/>
        <v>0</v>
      </c>
      <c r="AL89" s="320">
        <f t="shared" si="79"/>
        <v>0</v>
      </c>
      <c r="AM89" s="320">
        <f t="shared" si="80"/>
        <v>0</v>
      </c>
      <c r="AN89" s="320">
        <f t="shared" si="81"/>
        <v>0</v>
      </c>
      <c r="AO89" s="427">
        <v>0</v>
      </c>
      <c r="AP89" s="320">
        <f t="shared" si="112"/>
        <v>0</v>
      </c>
      <c r="AQ89" s="320">
        <f t="shared" si="82"/>
        <v>0</v>
      </c>
      <c r="AR89" s="320">
        <f t="shared" si="83"/>
        <v>0</v>
      </c>
      <c r="AS89" s="320">
        <f t="shared" si="84"/>
        <v>0</v>
      </c>
      <c r="AT89" s="320">
        <f t="shared" si="85"/>
        <v>0</v>
      </c>
      <c r="AU89" s="320">
        <f t="shared" si="86"/>
        <v>0</v>
      </c>
      <c r="AV89" s="427">
        <v>0</v>
      </c>
      <c r="AW89" s="320">
        <f t="shared" si="87"/>
        <v>0</v>
      </c>
      <c r="AX89" s="320">
        <f t="shared" si="88"/>
        <v>0</v>
      </c>
      <c r="AY89" s="320">
        <f t="shared" si="89"/>
        <v>0</v>
      </c>
      <c r="AZ89" s="320">
        <f t="shared" si="90"/>
        <v>0</v>
      </c>
      <c r="BA89" s="17">
        <v>1</v>
      </c>
      <c r="BB89" s="17" t="s">
        <v>1785</v>
      </c>
      <c r="BC89" s="17">
        <v>1</v>
      </c>
      <c r="BD89" s="17">
        <v>1</v>
      </c>
      <c r="BE89" s="17">
        <v>0</v>
      </c>
      <c r="BF89" s="17">
        <v>1</v>
      </c>
      <c r="BG89" s="428">
        <f t="shared" si="65"/>
        <v>1</v>
      </c>
      <c r="BH89" s="17">
        <v>0</v>
      </c>
      <c r="BI89" s="17">
        <v>1</v>
      </c>
      <c r="BJ89" s="17" t="s">
        <v>1786</v>
      </c>
      <c r="BK89" s="17">
        <v>1</v>
      </c>
      <c r="BL89" s="17">
        <v>0</v>
      </c>
      <c r="BM89" s="17">
        <v>0</v>
      </c>
      <c r="BN89" s="320">
        <f t="shared" si="66"/>
        <v>0</v>
      </c>
      <c r="BO89" s="320">
        <f>IF(ISNUMBER(SEARCH("t",$BL89)),1,0)</f>
        <v>0</v>
      </c>
      <c r="BP89" s="427">
        <v>0</v>
      </c>
      <c r="BQ89" s="427">
        <v>0</v>
      </c>
      <c r="BR89" s="320">
        <f t="shared" si="113"/>
        <v>0</v>
      </c>
      <c r="BS89" s="320">
        <f t="shared" si="113"/>
        <v>0</v>
      </c>
      <c r="BT89" s="427">
        <v>0</v>
      </c>
      <c r="BU89" s="320">
        <f t="shared" si="92"/>
        <v>0</v>
      </c>
      <c r="BV89" s="320">
        <f t="shared" si="93"/>
        <v>0</v>
      </c>
      <c r="BW89" s="320">
        <f t="shared" si="114"/>
        <v>0</v>
      </c>
      <c r="BX89" s="427">
        <v>1</v>
      </c>
      <c r="BY89" s="320">
        <f t="shared" si="94"/>
        <v>1</v>
      </c>
      <c r="BZ89" s="320">
        <f t="shared" si="95"/>
        <v>0</v>
      </c>
      <c r="CA89" s="320">
        <f t="shared" si="96"/>
        <v>0</v>
      </c>
      <c r="CB89" s="320">
        <f t="shared" si="97"/>
        <v>0</v>
      </c>
      <c r="CC89" s="427">
        <v>0</v>
      </c>
      <c r="CD89" s="320">
        <f t="shared" si="98"/>
        <v>0</v>
      </c>
      <c r="CE89" s="320">
        <f t="shared" si="99"/>
        <v>0</v>
      </c>
      <c r="CF89" s="320">
        <f t="shared" si="100"/>
        <v>0</v>
      </c>
      <c r="CG89" s="320">
        <f t="shared" si="101"/>
        <v>0</v>
      </c>
      <c r="CH89" s="427">
        <v>1</v>
      </c>
      <c r="CI89" s="427">
        <v>1</v>
      </c>
      <c r="CJ89" s="427">
        <v>0</v>
      </c>
      <c r="CK89" s="427">
        <v>0</v>
      </c>
      <c r="CL89" s="320">
        <f t="shared" si="116"/>
        <v>0</v>
      </c>
      <c r="CM89" s="320">
        <f t="shared" si="102"/>
        <v>0</v>
      </c>
      <c r="CN89" s="320">
        <f t="shared" si="103"/>
        <v>0</v>
      </c>
      <c r="CO89" s="320">
        <f t="shared" si="104"/>
        <v>0</v>
      </c>
      <c r="CP89" s="427">
        <v>0</v>
      </c>
      <c r="CQ89" s="427">
        <v>0</v>
      </c>
      <c r="CR89" s="320">
        <f t="shared" si="105"/>
        <v>0</v>
      </c>
      <c r="CS89" s="320">
        <f t="shared" si="115"/>
        <v>0</v>
      </c>
      <c r="CT89" s="320">
        <f t="shared" si="58"/>
        <v>0</v>
      </c>
      <c r="CU89" s="320">
        <f t="shared" si="59"/>
        <v>0</v>
      </c>
      <c r="CV89" s="427">
        <v>1</v>
      </c>
      <c r="CW89" s="17">
        <v>0</v>
      </c>
      <c r="CX89" s="320">
        <f t="shared" si="106"/>
        <v>0</v>
      </c>
      <c r="CY89" s="320">
        <f t="shared" si="107"/>
        <v>0</v>
      </c>
      <c r="CZ89" s="320">
        <f t="shared" si="108"/>
        <v>0</v>
      </c>
      <c r="DA89" s="17">
        <v>0</v>
      </c>
      <c r="DB89" s="17">
        <v>1</v>
      </c>
      <c r="DC89" s="17">
        <v>0</v>
      </c>
      <c r="DD89" s="31"/>
      <c r="DE89" s="323" t="s">
        <v>388</v>
      </c>
      <c r="DF89" s="323" t="s">
        <v>388</v>
      </c>
      <c r="DG89" s="323" t="s">
        <v>388</v>
      </c>
      <c r="DH89" s="323" t="s">
        <v>388</v>
      </c>
      <c r="DI89" s="323" t="s">
        <v>388</v>
      </c>
      <c r="DJ89" s="323" t="s">
        <v>388</v>
      </c>
      <c r="DK89" s="323" t="s">
        <v>388</v>
      </c>
      <c r="DL89" s="323" t="s">
        <v>1787</v>
      </c>
      <c r="DM89" s="323" t="s">
        <v>388</v>
      </c>
      <c r="DN89" s="323" t="s">
        <v>388</v>
      </c>
      <c r="DO89" s="323" t="s">
        <v>388</v>
      </c>
      <c r="DP89" s="324"/>
      <c r="DQ89" s="345" t="s">
        <v>392</v>
      </c>
      <c r="DR89" s="242"/>
      <c r="DS89" s="429">
        <f t="shared" si="109"/>
        <v>0.17391304347826086</v>
      </c>
      <c r="DT89" s="429">
        <f>SUM(BA89:BE89,BG89)/5</f>
        <v>0.8</v>
      </c>
      <c r="DU89" s="429">
        <f>SUM(BI89,BO89,BS89,BU89:BW89)/6</f>
        <v>0.16666666666666666</v>
      </c>
      <c r="DV89" s="429"/>
      <c r="DW89" s="429"/>
      <c r="DX89" s="429"/>
      <c r="DY89" s="429"/>
      <c r="DZ89" s="134"/>
      <c r="EA89" s="134"/>
      <c r="EB89" s="134"/>
      <c r="EC89" s="134"/>
      <c r="ED89" s="123"/>
      <c r="EH89" s="46"/>
      <c r="EI89" s="45"/>
      <c r="EJ89" s="33" t="b">
        <f t="shared" si="110"/>
        <v>0</v>
      </c>
      <c r="EK89" s="42"/>
      <c r="EL89" s="42"/>
      <c r="EM89" s="42"/>
      <c r="EN89" s="439"/>
      <c r="EO89" s="439"/>
      <c r="EP89" s="439"/>
      <c r="EQ89" s="47"/>
      <c r="ER89" s="447"/>
      <c r="ES89" s="447"/>
      <c r="ET89" s="447"/>
      <c r="EU89" s="447"/>
      <c r="EV89" s="447"/>
      <c r="EZ89" s="393" t="s">
        <v>1349</v>
      </c>
      <c r="FA89" s="393" t="s">
        <v>1382</v>
      </c>
      <c r="FB89" s="389">
        <v>9076.0580000000009</v>
      </c>
      <c r="FC89" s="389">
        <v>9325.6560000000009</v>
      </c>
      <c r="FD89" s="389">
        <v>10691.98</v>
      </c>
      <c r="FE89" s="389">
        <v>10691.98</v>
      </c>
      <c r="FF89" s="389">
        <v>10691.98</v>
      </c>
      <c r="FG89" s="390">
        <v>2.9302474807134181E-2</v>
      </c>
      <c r="FH89" s="390">
        <v>0</v>
      </c>
      <c r="FI89" s="390">
        <v>0</v>
      </c>
      <c r="FJ89" s="391">
        <v>0</v>
      </c>
      <c r="FK89" s="391" t="s">
        <v>1386</v>
      </c>
      <c r="FL89" s="31" t="s">
        <v>1387</v>
      </c>
      <c r="FN89" s="128" t="s">
        <v>1556</v>
      </c>
      <c r="FO89" s="128" t="s">
        <v>1557</v>
      </c>
      <c r="FP89" s="128" t="s">
        <v>1348</v>
      </c>
    </row>
    <row r="90" spans="1:177" ht="22" customHeight="1" x14ac:dyDescent="0.2">
      <c r="A90" s="13" t="s">
        <v>4</v>
      </c>
      <c r="B90" s="14" t="s">
        <v>21</v>
      </c>
      <c r="C90" s="14"/>
      <c r="D90" s="14"/>
      <c r="E90" s="128" t="s">
        <v>1350</v>
      </c>
      <c r="F90" s="15" t="s">
        <v>1358</v>
      </c>
      <c r="G90" s="15" t="s">
        <v>635</v>
      </c>
      <c r="H90" s="95">
        <f t="shared" si="118"/>
        <v>0</v>
      </c>
      <c r="I90" s="95">
        <f t="shared" si="69"/>
        <v>0</v>
      </c>
      <c r="J90" s="95"/>
      <c r="K90" s="256">
        <f t="shared" si="70"/>
        <v>0</v>
      </c>
      <c r="L90" s="101">
        <v>0</v>
      </c>
      <c r="M90" s="99"/>
      <c r="N90" s="89"/>
      <c r="O90" s="144" t="str">
        <f t="shared" si="119"/>
        <v>N/A or not found_x000D__x000D_</v>
      </c>
      <c r="P90" s="144"/>
      <c r="Q90" s="360" t="s">
        <v>925</v>
      </c>
      <c r="R90" s="64" t="s">
        <v>918</v>
      </c>
      <c r="S90" s="425"/>
      <c r="T90" s="555" t="s">
        <v>1822</v>
      </c>
      <c r="U90" s="555" t="s">
        <v>1819</v>
      </c>
      <c r="V90" s="309" t="s">
        <v>925</v>
      </c>
      <c r="W90" s="258"/>
      <c r="X90" s="307" t="s">
        <v>834</v>
      </c>
      <c r="Y90" s="274"/>
      <c r="Z90" s="426" t="s">
        <v>224</v>
      </c>
      <c r="AA90" s="320">
        <f t="shared" si="64"/>
        <v>1</v>
      </c>
      <c r="AB90" s="320">
        <f t="shared" si="72"/>
        <v>0</v>
      </c>
      <c r="AC90" s="320">
        <f t="shared" si="73"/>
        <v>1</v>
      </c>
      <c r="AD90" s="320">
        <f t="shared" si="74"/>
        <v>0</v>
      </c>
      <c r="AE90" s="320">
        <f t="shared" si="111"/>
        <v>1</v>
      </c>
      <c r="AF90" s="320">
        <f t="shared" si="75"/>
        <v>0</v>
      </c>
      <c r="AG90" s="320">
        <f t="shared" si="63"/>
        <v>0</v>
      </c>
      <c r="AH90" s="427">
        <v>0</v>
      </c>
      <c r="AI90" s="320">
        <f t="shared" si="76"/>
        <v>0</v>
      </c>
      <c r="AJ90" s="320">
        <f t="shared" si="77"/>
        <v>0</v>
      </c>
      <c r="AK90" s="320">
        <f t="shared" si="78"/>
        <v>0</v>
      </c>
      <c r="AL90" s="320">
        <f t="shared" si="79"/>
        <v>0</v>
      </c>
      <c r="AM90" s="320">
        <f t="shared" si="80"/>
        <v>0</v>
      </c>
      <c r="AN90" s="320">
        <f t="shared" si="81"/>
        <v>0</v>
      </c>
      <c r="AO90" s="427">
        <v>1</v>
      </c>
      <c r="AP90" s="320">
        <f t="shared" si="112"/>
        <v>1</v>
      </c>
      <c r="AQ90" s="320">
        <f t="shared" si="82"/>
        <v>0</v>
      </c>
      <c r="AR90" s="320">
        <f t="shared" si="83"/>
        <v>0</v>
      </c>
      <c r="AS90" s="320">
        <f t="shared" si="84"/>
        <v>0</v>
      </c>
      <c r="AT90" s="320">
        <f t="shared" si="85"/>
        <v>0</v>
      </c>
      <c r="AU90" s="320">
        <f t="shared" si="86"/>
        <v>0</v>
      </c>
      <c r="AV90" s="427">
        <v>1</v>
      </c>
      <c r="AW90" s="320">
        <f t="shared" si="87"/>
        <v>1</v>
      </c>
      <c r="AX90" s="320">
        <f t="shared" si="88"/>
        <v>0</v>
      </c>
      <c r="AY90" s="320">
        <f t="shared" si="89"/>
        <v>0</v>
      </c>
      <c r="AZ90" s="320">
        <f t="shared" si="90"/>
        <v>0</v>
      </c>
      <c r="BA90" s="17">
        <v>1</v>
      </c>
      <c r="BB90" s="17" t="s">
        <v>1818</v>
      </c>
      <c r="BC90" s="17">
        <v>0</v>
      </c>
      <c r="BD90" s="17">
        <v>1</v>
      </c>
      <c r="BE90" s="17">
        <v>0</v>
      </c>
      <c r="BF90" s="17">
        <v>5</v>
      </c>
      <c r="BG90" s="428">
        <f t="shared" si="65"/>
        <v>1</v>
      </c>
      <c r="BH90" s="17">
        <v>0</v>
      </c>
      <c r="BI90" s="17">
        <v>1</v>
      </c>
      <c r="BJ90" s="17" t="s">
        <v>1819</v>
      </c>
      <c r="BK90" s="17">
        <v>1</v>
      </c>
      <c r="BL90" s="17">
        <v>0</v>
      </c>
      <c r="BM90" s="17">
        <v>0</v>
      </c>
      <c r="BN90" s="320">
        <f t="shared" si="66"/>
        <v>0</v>
      </c>
      <c r="BO90" s="320">
        <f t="shared" si="117"/>
        <v>0</v>
      </c>
      <c r="BP90" s="427">
        <v>0</v>
      </c>
      <c r="BQ90" s="427">
        <v>0</v>
      </c>
      <c r="BR90" s="320">
        <f t="shared" si="113"/>
        <v>0</v>
      </c>
      <c r="BS90" s="320">
        <f t="shared" si="113"/>
        <v>0</v>
      </c>
      <c r="BT90" s="427">
        <v>0</v>
      </c>
      <c r="BU90" s="320">
        <f t="shared" si="92"/>
        <v>0</v>
      </c>
      <c r="BV90" s="320">
        <f t="shared" si="93"/>
        <v>0</v>
      </c>
      <c r="BW90" s="320">
        <f t="shared" si="114"/>
        <v>0</v>
      </c>
      <c r="BX90" s="427" t="s">
        <v>224</v>
      </c>
      <c r="BY90" s="320">
        <f t="shared" si="94"/>
        <v>1</v>
      </c>
      <c r="BZ90" s="320">
        <f t="shared" si="95"/>
        <v>1</v>
      </c>
      <c r="CA90" s="320">
        <f t="shared" si="96"/>
        <v>1</v>
      </c>
      <c r="CB90" s="320">
        <f t="shared" si="97"/>
        <v>0</v>
      </c>
      <c r="CC90" s="427">
        <v>0</v>
      </c>
      <c r="CD90" s="320">
        <f t="shared" si="98"/>
        <v>0</v>
      </c>
      <c r="CE90" s="320">
        <f t="shared" si="99"/>
        <v>0</v>
      </c>
      <c r="CF90" s="320">
        <f t="shared" si="100"/>
        <v>0</v>
      </c>
      <c r="CG90" s="320">
        <f t="shared" si="101"/>
        <v>0</v>
      </c>
      <c r="CH90" s="427">
        <v>0</v>
      </c>
      <c r="CI90" s="427">
        <v>0</v>
      </c>
      <c r="CJ90" s="427">
        <v>0</v>
      </c>
      <c r="CK90" s="427">
        <v>0</v>
      </c>
      <c r="CL90" s="320">
        <f t="shared" si="116"/>
        <v>0</v>
      </c>
      <c r="CM90" s="320">
        <f t="shared" si="102"/>
        <v>0</v>
      </c>
      <c r="CN90" s="320">
        <f t="shared" si="103"/>
        <v>0</v>
      </c>
      <c r="CO90" s="320">
        <f t="shared" si="104"/>
        <v>0</v>
      </c>
      <c r="CP90" s="427">
        <v>0</v>
      </c>
      <c r="CQ90" s="427">
        <v>0</v>
      </c>
      <c r="CR90" s="320">
        <f t="shared" si="105"/>
        <v>0</v>
      </c>
      <c r="CS90" s="320">
        <f t="shared" si="115"/>
        <v>0</v>
      </c>
      <c r="CT90" s="320">
        <f t="shared" si="58"/>
        <v>0</v>
      </c>
      <c r="CU90" s="320">
        <f t="shared" si="59"/>
        <v>0</v>
      </c>
      <c r="CV90" s="427">
        <v>1</v>
      </c>
      <c r="CW90" s="17">
        <v>0</v>
      </c>
      <c r="CX90" s="320">
        <f t="shared" si="106"/>
        <v>0</v>
      </c>
      <c r="CY90" s="320">
        <f t="shared" si="107"/>
        <v>0</v>
      </c>
      <c r="CZ90" s="320">
        <f t="shared" si="108"/>
        <v>0</v>
      </c>
      <c r="DA90" s="17">
        <v>1</v>
      </c>
      <c r="DB90" s="17">
        <v>1</v>
      </c>
      <c r="DC90" s="17">
        <v>0</v>
      </c>
      <c r="DD90" s="31"/>
      <c r="DE90" s="321" t="s">
        <v>388</v>
      </c>
      <c r="DF90" s="321" t="s">
        <v>388</v>
      </c>
      <c r="DG90" s="321" t="s">
        <v>388</v>
      </c>
      <c r="DH90" s="321" t="s">
        <v>388</v>
      </c>
      <c r="DI90" s="321" t="s">
        <v>388</v>
      </c>
      <c r="DJ90" s="321" t="s">
        <v>388</v>
      </c>
      <c r="DK90" s="321" t="s">
        <v>388</v>
      </c>
      <c r="DL90" s="321" t="s">
        <v>388</v>
      </c>
      <c r="DM90" s="321" t="s">
        <v>388</v>
      </c>
      <c r="DN90" s="321" t="s">
        <v>388</v>
      </c>
      <c r="DO90" s="321" t="s">
        <v>388</v>
      </c>
      <c r="DP90" s="322"/>
      <c r="DQ90" s="345" t="s">
        <v>388</v>
      </c>
      <c r="DR90" s="241"/>
      <c r="DS90" s="429">
        <f t="shared" si="109"/>
        <v>0.21739130434782608</v>
      </c>
      <c r="DT90" s="429"/>
      <c r="DU90" s="429"/>
      <c r="DV90" s="429"/>
      <c r="DW90" s="429"/>
      <c r="DX90" s="429"/>
      <c r="DY90" s="429"/>
      <c r="DZ90" s="134"/>
      <c r="EA90" s="134"/>
      <c r="EB90" s="134"/>
      <c r="EC90" s="134"/>
      <c r="ED90" s="123"/>
      <c r="EH90" s="44"/>
      <c r="EI90" s="45"/>
      <c r="EJ90" s="33" t="b">
        <f t="shared" si="110"/>
        <v>0</v>
      </c>
      <c r="EK90" s="42"/>
      <c r="EL90" s="42"/>
      <c r="EM90" s="42"/>
      <c r="EN90" s="439"/>
      <c r="EO90" s="439"/>
      <c r="EP90" s="439"/>
      <c r="EQ90" s="38"/>
      <c r="ER90" s="447"/>
      <c r="ES90" s="447"/>
      <c r="ET90" s="447"/>
      <c r="EU90" s="447"/>
      <c r="EV90" s="447"/>
      <c r="EZ90" s="393" t="s">
        <v>1350</v>
      </c>
      <c r="FA90" s="393" t="s">
        <v>1350</v>
      </c>
      <c r="FB90" s="389">
        <v>804</v>
      </c>
      <c r="FC90" s="389">
        <v>818</v>
      </c>
      <c r="FD90" s="389">
        <v>825</v>
      </c>
      <c r="FE90" s="389">
        <v>825</v>
      </c>
      <c r="FF90" s="389">
        <v>825</v>
      </c>
      <c r="FG90" s="390">
        <v>1.7114914425427872E-3</v>
      </c>
      <c r="FH90" s="390">
        <v>0</v>
      </c>
      <c r="FI90" s="390">
        <v>0</v>
      </c>
      <c r="FJ90" s="391">
        <v>0</v>
      </c>
      <c r="FK90" s="391" t="s">
        <v>1386</v>
      </c>
      <c r="FL90" s="31" t="s">
        <v>1387</v>
      </c>
      <c r="FN90" s="128" t="s">
        <v>1558</v>
      </c>
      <c r="FO90" s="128" t="s">
        <v>1559</v>
      </c>
      <c r="FP90" s="128" t="s">
        <v>1348</v>
      </c>
    </row>
    <row r="91" spans="1:177" ht="22" hidden="1" customHeight="1" x14ac:dyDescent="0.2">
      <c r="A91" s="13" t="s">
        <v>7</v>
      </c>
      <c r="B91" s="14" t="s">
        <v>77</v>
      </c>
      <c r="C91" s="14"/>
      <c r="D91" s="14"/>
      <c r="E91" s="128" t="s">
        <v>112</v>
      </c>
      <c r="F91" s="15"/>
      <c r="G91" s="15" t="s">
        <v>635</v>
      </c>
      <c r="H91" s="95">
        <f t="shared" si="118"/>
        <v>0</v>
      </c>
      <c r="I91" s="95">
        <f t="shared" si="69"/>
        <v>0</v>
      </c>
      <c r="J91" s="95"/>
      <c r="K91" s="256">
        <f t="shared" si="70"/>
        <v>0</v>
      </c>
      <c r="L91" s="278">
        <v>0</v>
      </c>
      <c r="M91" s="25"/>
      <c r="N91" s="89"/>
      <c r="O91" s="144" t="str">
        <f t="shared" si="119"/>
        <v>_x000D__x000D_</v>
      </c>
      <c r="P91" s="144"/>
      <c r="Q91" s="55"/>
      <c r="R91" s="64" t="s">
        <v>918</v>
      </c>
      <c r="S91" s="425"/>
      <c r="T91" s="300" t="s">
        <v>876</v>
      </c>
      <c r="U91" s="301" t="s">
        <v>834</v>
      </c>
      <c r="V91" s="309" t="s">
        <v>834</v>
      </c>
      <c r="W91" s="258"/>
      <c r="X91" s="307" t="s">
        <v>834</v>
      </c>
      <c r="Y91" s="274"/>
      <c r="Z91" s="426"/>
      <c r="AA91" s="320">
        <f t="shared" si="64"/>
        <v>0</v>
      </c>
      <c r="AB91" s="320">
        <f t="shared" si="72"/>
        <v>0</v>
      </c>
      <c r="AC91" s="320">
        <f t="shared" si="73"/>
        <v>0</v>
      </c>
      <c r="AD91" s="320">
        <f t="shared" si="74"/>
        <v>0</v>
      </c>
      <c r="AE91" s="320">
        <f t="shared" si="111"/>
        <v>0</v>
      </c>
      <c r="AF91" s="320">
        <f t="shared" si="75"/>
        <v>0</v>
      </c>
      <c r="AG91" s="320">
        <f t="shared" si="63"/>
        <v>0</v>
      </c>
      <c r="AH91" s="427"/>
      <c r="AI91" s="320">
        <f t="shared" si="76"/>
        <v>0</v>
      </c>
      <c r="AJ91" s="320">
        <f t="shared" si="77"/>
        <v>0</v>
      </c>
      <c r="AK91" s="320">
        <f t="shared" si="78"/>
        <v>0</v>
      </c>
      <c r="AL91" s="320">
        <f t="shared" si="79"/>
        <v>0</v>
      </c>
      <c r="AM91" s="320">
        <f t="shared" si="80"/>
        <v>0</v>
      </c>
      <c r="AN91" s="320">
        <f t="shared" si="81"/>
        <v>0</v>
      </c>
      <c r="AO91" s="427"/>
      <c r="AP91" s="320">
        <f t="shared" si="112"/>
        <v>0</v>
      </c>
      <c r="AQ91" s="320">
        <f t="shared" si="82"/>
        <v>0</v>
      </c>
      <c r="AR91" s="320">
        <f t="shared" si="83"/>
        <v>0</v>
      </c>
      <c r="AS91" s="320">
        <f t="shared" si="84"/>
        <v>0</v>
      </c>
      <c r="AT91" s="320">
        <f t="shared" si="85"/>
        <v>0</v>
      </c>
      <c r="AU91" s="320">
        <f t="shared" si="86"/>
        <v>0</v>
      </c>
      <c r="AV91" s="427"/>
      <c r="AW91" s="320">
        <f t="shared" si="87"/>
        <v>0</v>
      </c>
      <c r="AX91" s="320">
        <f t="shared" si="88"/>
        <v>0</v>
      </c>
      <c r="AY91" s="320">
        <f t="shared" si="89"/>
        <v>0</v>
      </c>
      <c r="AZ91" s="320">
        <f t="shared" si="90"/>
        <v>0</v>
      </c>
      <c r="BA91" s="17">
        <v>1</v>
      </c>
      <c r="BB91" s="17" t="s">
        <v>876</v>
      </c>
      <c r="BC91" s="17"/>
      <c r="BD91" s="17"/>
      <c r="BE91" s="17"/>
      <c r="BF91" s="17"/>
      <c r="BG91" s="428">
        <f t="shared" si="65"/>
        <v>0</v>
      </c>
      <c r="BH91" s="17"/>
      <c r="BI91" s="17"/>
      <c r="BJ91" s="17"/>
      <c r="BK91" s="17"/>
      <c r="BL91" s="17"/>
      <c r="BM91" s="17"/>
      <c r="BN91" s="320">
        <f t="shared" si="66"/>
        <v>0</v>
      </c>
      <c r="BO91" s="320">
        <f t="shared" si="117"/>
        <v>0</v>
      </c>
      <c r="BP91" s="427"/>
      <c r="BQ91" s="427"/>
      <c r="BR91" s="320">
        <f t="shared" si="113"/>
        <v>0</v>
      </c>
      <c r="BS91" s="320">
        <f t="shared" si="113"/>
        <v>0</v>
      </c>
      <c r="BT91" s="427"/>
      <c r="BU91" s="320">
        <f t="shared" si="92"/>
        <v>0</v>
      </c>
      <c r="BV91" s="320">
        <f t="shared" si="93"/>
        <v>0</v>
      </c>
      <c r="BW91" s="320">
        <f t="shared" si="114"/>
        <v>0</v>
      </c>
      <c r="BX91" s="427"/>
      <c r="BY91" s="320">
        <f t="shared" si="94"/>
        <v>0</v>
      </c>
      <c r="BZ91" s="320">
        <f t="shared" si="95"/>
        <v>0</v>
      </c>
      <c r="CA91" s="320">
        <f t="shared" si="96"/>
        <v>0</v>
      </c>
      <c r="CB91" s="320">
        <f t="shared" si="97"/>
        <v>0</v>
      </c>
      <c r="CC91" s="427"/>
      <c r="CD91" s="320">
        <f t="shared" si="98"/>
        <v>0</v>
      </c>
      <c r="CE91" s="320">
        <f t="shared" si="99"/>
        <v>0</v>
      </c>
      <c r="CF91" s="320">
        <f t="shared" si="100"/>
        <v>0</v>
      </c>
      <c r="CG91" s="320">
        <f t="shared" si="101"/>
        <v>0</v>
      </c>
      <c r="CH91" s="427"/>
      <c r="CI91" s="427"/>
      <c r="CJ91" s="427"/>
      <c r="CK91" s="427"/>
      <c r="CL91" s="320">
        <f t="shared" si="116"/>
        <v>0</v>
      </c>
      <c r="CM91" s="320">
        <f t="shared" si="102"/>
        <v>0</v>
      </c>
      <c r="CN91" s="320">
        <f t="shared" si="103"/>
        <v>0</v>
      </c>
      <c r="CO91" s="320">
        <f t="shared" si="104"/>
        <v>0</v>
      </c>
      <c r="CP91" s="427"/>
      <c r="CQ91" s="427"/>
      <c r="CR91" s="320">
        <f t="shared" si="105"/>
        <v>0</v>
      </c>
      <c r="CS91" s="320">
        <f t="shared" si="115"/>
        <v>0</v>
      </c>
      <c r="CT91" s="320">
        <f t="shared" si="58"/>
        <v>0</v>
      </c>
      <c r="CU91" s="320">
        <f t="shared" si="59"/>
        <v>0</v>
      </c>
      <c r="CV91" s="427"/>
      <c r="CW91" s="17"/>
      <c r="CX91" s="320">
        <f t="shared" si="106"/>
        <v>0</v>
      </c>
      <c r="CY91" s="320">
        <f t="shared" si="107"/>
        <v>0</v>
      </c>
      <c r="CZ91" s="320">
        <f t="shared" si="108"/>
        <v>0</v>
      </c>
      <c r="DA91" s="17"/>
      <c r="DB91" s="17"/>
      <c r="DC91" s="17"/>
      <c r="DD91" s="31"/>
      <c r="DE91" s="337"/>
      <c r="DF91" s="337"/>
      <c r="DG91" s="337"/>
      <c r="DH91" s="337"/>
      <c r="DI91" s="337"/>
      <c r="DJ91" s="337"/>
      <c r="DK91" s="337"/>
      <c r="DL91" s="337"/>
      <c r="DM91" s="337"/>
      <c r="DN91" s="337"/>
      <c r="DO91" s="337"/>
      <c r="DP91" s="324"/>
      <c r="DQ91" s="288"/>
      <c r="DR91" s="242"/>
      <c r="DS91" s="429">
        <f t="shared" si="109"/>
        <v>0</v>
      </c>
      <c r="DT91" s="429"/>
      <c r="DU91" s="429"/>
      <c r="DV91" s="429"/>
      <c r="DW91" s="429"/>
      <c r="DX91" s="429"/>
      <c r="DY91" s="429"/>
      <c r="DZ91" s="134"/>
      <c r="EA91" s="134"/>
      <c r="EB91" s="134"/>
      <c r="EC91" s="134"/>
      <c r="ED91" s="123"/>
      <c r="EH91" s="46">
        <v>0</v>
      </c>
      <c r="EI91" s="45"/>
      <c r="EJ91" s="33" t="b">
        <f t="shared" si="110"/>
        <v>0</v>
      </c>
      <c r="EK91" s="42"/>
      <c r="EL91" s="42"/>
      <c r="EM91" s="42"/>
      <c r="EN91" s="439"/>
      <c r="EO91" s="439"/>
      <c r="EP91" s="439"/>
      <c r="EQ91" s="47"/>
      <c r="ER91" s="440"/>
      <c r="ES91" s="431"/>
      <c r="ET91" s="431"/>
      <c r="EU91" s="431"/>
      <c r="EV91" s="447"/>
      <c r="EZ91" s="393" t="s">
        <v>112</v>
      </c>
      <c r="FA91" s="393" t="s">
        <v>112</v>
      </c>
      <c r="FB91" s="389">
        <v>465.00200000000001</v>
      </c>
      <c r="FC91" s="389">
        <v>634.95100000000002</v>
      </c>
      <c r="FD91" s="389">
        <v>694.83500000000004</v>
      </c>
      <c r="FE91" s="389">
        <v>725.63499999999999</v>
      </c>
      <c r="FF91" s="389">
        <v>754.01599999999996</v>
      </c>
      <c r="FG91" s="390">
        <v>1.8862557898168524E-2</v>
      </c>
      <c r="FH91" s="390">
        <v>8.8654140911151435E-3</v>
      </c>
      <c r="FI91" s="390">
        <v>7.8223900445816338E-3</v>
      </c>
      <c r="FJ91" s="391" t="s">
        <v>1389</v>
      </c>
      <c r="FK91" s="391">
        <v>-0.11765091126186888</v>
      </c>
      <c r="FL91" s="31" t="s">
        <v>1394</v>
      </c>
      <c r="FN91" s="128" t="s">
        <v>1560</v>
      </c>
      <c r="FO91" s="128" t="s">
        <v>1561</v>
      </c>
      <c r="FP91" s="128"/>
    </row>
    <row r="92" spans="1:177" ht="22" customHeight="1" x14ac:dyDescent="0.2">
      <c r="A92" s="13" t="s">
        <v>4</v>
      </c>
      <c r="B92" s="14" t="s">
        <v>21</v>
      </c>
      <c r="C92" s="14"/>
      <c r="D92" s="14"/>
      <c r="E92" s="216" t="s">
        <v>113</v>
      </c>
      <c r="F92" s="15" t="s">
        <v>1357</v>
      </c>
      <c r="G92" s="176" t="s">
        <v>634</v>
      </c>
      <c r="H92" s="178">
        <f t="shared" si="118"/>
        <v>1</v>
      </c>
      <c r="I92" s="178">
        <f t="shared" si="69"/>
        <v>0</v>
      </c>
      <c r="J92" s="178"/>
      <c r="K92" s="275">
        <f t="shared" si="70"/>
        <v>1</v>
      </c>
      <c r="L92" s="284">
        <v>0</v>
      </c>
      <c r="M92" s="159"/>
      <c r="N92" s="157">
        <v>0</v>
      </c>
      <c r="O92" s="160" t="str">
        <f t="shared" si="119"/>
        <v>N/A or not found_x000D__x000D_</v>
      </c>
      <c r="P92" s="144" t="str">
        <f>CONCATENATE(V92,R92,X92)</f>
        <v>N/A or not found_x000D__x000D_</v>
      </c>
      <c r="Q92" s="360" t="s">
        <v>925</v>
      </c>
      <c r="R92" s="64" t="s">
        <v>918</v>
      </c>
      <c r="S92" s="460"/>
      <c r="T92" s="344" t="s">
        <v>1104</v>
      </c>
      <c r="U92" s="318" t="s">
        <v>1105</v>
      </c>
      <c r="V92" s="301" t="s">
        <v>925</v>
      </c>
      <c r="W92" s="258"/>
      <c r="X92" s="306" t="s">
        <v>834</v>
      </c>
      <c r="Y92" s="295"/>
      <c r="Z92" s="426" t="s">
        <v>315</v>
      </c>
      <c r="AA92" s="320">
        <f t="shared" si="64"/>
        <v>1</v>
      </c>
      <c r="AB92" s="320">
        <f t="shared" si="72"/>
        <v>0</v>
      </c>
      <c r="AC92" s="320">
        <f t="shared" si="73"/>
        <v>0</v>
      </c>
      <c r="AD92" s="320">
        <f t="shared" si="74"/>
        <v>0</v>
      </c>
      <c r="AE92" s="320">
        <f t="shared" si="111"/>
        <v>1</v>
      </c>
      <c r="AF92" s="320">
        <f t="shared" si="75"/>
        <v>0</v>
      </c>
      <c r="AG92" s="320">
        <f t="shared" si="63"/>
        <v>0</v>
      </c>
      <c r="AH92" s="427">
        <v>0</v>
      </c>
      <c r="AI92" s="320">
        <f t="shared" si="76"/>
        <v>0</v>
      </c>
      <c r="AJ92" s="320">
        <f t="shared" si="77"/>
        <v>0</v>
      </c>
      <c r="AK92" s="320">
        <f t="shared" si="78"/>
        <v>0</v>
      </c>
      <c r="AL92" s="320">
        <f t="shared" si="79"/>
        <v>0</v>
      </c>
      <c r="AM92" s="320">
        <f t="shared" si="80"/>
        <v>0</v>
      </c>
      <c r="AN92" s="320">
        <f t="shared" si="81"/>
        <v>0</v>
      </c>
      <c r="AO92" s="427">
        <v>1</v>
      </c>
      <c r="AP92" s="320">
        <f t="shared" si="112"/>
        <v>1</v>
      </c>
      <c r="AQ92" s="320">
        <f t="shared" si="82"/>
        <v>0</v>
      </c>
      <c r="AR92" s="320">
        <f t="shared" si="83"/>
        <v>0</v>
      </c>
      <c r="AS92" s="320">
        <f t="shared" si="84"/>
        <v>0</v>
      </c>
      <c r="AT92" s="320">
        <f t="shared" si="85"/>
        <v>0</v>
      </c>
      <c r="AU92" s="320">
        <f t="shared" si="86"/>
        <v>0</v>
      </c>
      <c r="AV92" s="427">
        <v>0</v>
      </c>
      <c r="AW92" s="320">
        <f t="shared" si="87"/>
        <v>0</v>
      </c>
      <c r="AX92" s="320">
        <f t="shared" si="88"/>
        <v>0</v>
      </c>
      <c r="AY92" s="320">
        <f t="shared" si="89"/>
        <v>0</v>
      </c>
      <c r="AZ92" s="320">
        <f t="shared" si="90"/>
        <v>0</v>
      </c>
      <c r="BA92" s="17">
        <v>1</v>
      </c>
      <c r="BB92" s="17" t="s">
        <v>1306</v>
      </c>
      <c r="BC92" s="17">
        <v>1</v>
      </c>
      <c r="BD92" s="17">
        <v>1</v>
      </c>
      <c r="BE92" s="17">
        <v>0</v>
      </c>
      <c r="BF92" s="17">
        <v>0</v>
      </c>
      <c r="BG92" s="428">
        <f t="shared" si="65"/>
        <v>0</v>
      </c>
      <c r="BH92" s="17">
        <v>1</v>
      </c>
      <c r="BI92" s="17">
        <v>1</v>
      </c>
      <c r="BJ92" s="17" t="s">
        <v>1105</v>
      </c>
      <c r="BK92" s="17">
        <v>1</v>
      </c>
      <c r="BL92" s="17">
        <v>0</v>
      </c>
      <c r="BM92" s="17" t="s">
        <v>1247</v>
      </c>
      <c r="BN92" s="320">
        <f t="shared" si="66"/>
        <v>0</v>
      </c>
      <c r="BO92" s="320">
        <f t="shared" si="117"/>
        <v>0</v>
      </c>
      <c r="BP92" s="427">
        <v>0</v>
      </c>
      <c r="BQ92" s="427" t="s">
        <v>1174</v>
      </c>
      <c r="BR92" s="320">
        <f t="shared" si="113"/>
        <v>0</v>
      </c>
      <c r="BS92" s="320">
        <f t="shared" si="113"/>
        <v>0</v>
      </c>
      <c r="BT92" s="427">
        <v>0</v>
      </c>
      <c r="BU92" s="320">
        <f t="shared" si="92"/>
        <v>0</v>
      </c>
      <c r="BV92" s="320">
        <f t="shared" si="93"/>
        <v>0</v>
      </c>
      <c r="BW92" s="320">
        <f t="shared" si="114"/>
        <v>0</v>
      </c>
      <c r="BX92" s="427">
        <v>1</v>
      </c>
      <c r="BY92" s="320">
        <f t="shared" si="94"/>
        <v>1</v>
      </c>
      <c r="BZ92" s="320">
        <f t="shared" si="95"/>
        <v>0</v>
      </c>
      <c r="CA92" s="320">
        <f t="shared" si="96"/>
        <v>0</v>
      </c>
      <c r="CB92" s="320">
        <f t="shared" si="97"/>
        <v>0</v>
      </c>
      <c r="CC92" s="427">
        <v>1</v>
      </c>
      <c r="CD92" s="320">
        <f t="shared" si="98"/>
        <v>1</v>
      </c>
      <c r="CE92" s="320">
        <f t="shared" si="99"/>
        <v>0</v>
      </c>
      <c r="CF92" s="320">
        <f t="shared" si="100"/>
        <v>0</v>
      </c>
      <c r="CG92" s="320">
        <f t="shared" si="101"/>
        <v>0</v>
      </c>
      <c r="CH92" s="427">
        <v>0</v>
      </c>
      <c r="CI92" s="427">
        <v>0</v>
      </c>
      <c r="CJ92" s="427">
        <v>0</v>
      </c>
      <c r="CK92" s="427">
        <v>1</v>
      </c>
      <c r="CL92" s="320">
        <f t="shared" si="116"/>
        <v>1</v>
      </c>
      <c r="CM92" s="320">
        <f t="shared" si="102"/>
        <v>0</v>
      </c>
      <c r="CN92" s="320">
        <f t="shared" si="103"/>
        <v>0</v>
      </c>
      <c r="CO92" s="320">
        <f t="shared" si="104"/>
        <v>0</v>
      </c>
      <c r="CP92" s="427">
        <v>0</v>
      </c>
      <c r="CQ92" s="427">
        <v>2</v>
      </c>
      <c r="CR92" s="320">
        <f t="shared" si="105"/>
        <v>0</v>
      </c>
      <c r="CS92" s="320">
        <f t="shared" si="115"/>
        <v>0</v>
      </c>
      <c r="CT92" s="320">
        <f t="shared" si="58"/>
        <v>1</v>
      </c>
      <c r="CU92" s="320">
        <f t="shared" si="59"/>
        <v>0</v>
      </c>
      <c r="CV92" s="427">
        <v>0</v>
      </c>
      <c r="CW92" s="17">
        <v>4</v>
      </c>
      <c r="CX92" s="320">
        <v>0</v>
      </c>
      <c r="CY92" s="320">
        <f t="shared" si="107"/>
        <v>0</v>
      </c>
      <c r="CZ92" s="320">
        <f t="shared" si="108"/>
        <v>0</v>
      </c>
      <c r="DA92" s="17">
        <v>0</v>
      </c>
      <c r="DB92" s="17">
        <v>0</v>
      </c>
      <c r="DC92" s="17">
        <v>0</v>
      </c>
      <c r="DD92" s="31"/>
      <c r="DE92" s="350" t="s">
        <v>388</v>
      </c>
      <c r="DF92" s="350" t="s">
        <v>388</v>
      </c>
      <c r="DG92" s="350" t="s">
        <v>388</v>
      </c>
      <c r="DH92" s="350" t="s">
        <v>388</v>
      </c>
      <c r="DI92" s="346" t="s">
        <v>388</v>
      </c>
      <c r="DJ92" s="350" t="s">
        <v>388</v>
      </c>
      <c r="DK92" s="350" t="s">
        <v>388</v>
      </c>
      <c r="DL92" s="350" t="s">
        <v>388</v>
      </c>
      <c r="DM92" s="350" t="s">
        <v>388</v>
      </c>
      <c r="DN92" s="350" t="s">
        <v>388</v>
      </c>
      <c r="DO92" s="350" t="s">
        <v>388</v>
      </c>
      <c r="DP92" s="351">
        <v>1</v>
      </c>
      <c r="DQ92" s="381"/>
      <c r="DR92" s="239">
        <f>SUM(DS92:DX92)/6</f>
        <v>0.23747987117552338</v>
      </c>
      <c r="DS92" s="429">
        <f t="shared" si="109"/>
        <v>0.13043478260869565</v>
      </c>
      <c r="DT92" s="429">
        <f>SUM(BA92:BE92,BG92)/5</f>
        <v>0.6</v>
      </c>
      <c r="DU92" s="429">
        <f>SUM(BI92,BO92,BS92,BU92:BW92)/6</f>
        <v>0.16666666666666666</v>
      </c>
      <c r="DV92" s="429">
        <f>SUM(BY92-CB92,CD92-CG92)/8</f>
        <v>0.25</v>
      </c>
      <c r="DW92" s="429">
        <f>SUM(CH92:CJ92,CL92:CO92,BN92,BR92)/9</f>
        <v>0.1111111111111111</v>
      </c>
      <c r="DX92" s="429">
        <f>SUM(CP92,CR92:CV92)/6</f>
        <v>0.16666666666666666</v>
      </c>
      <c r="DY92" s="461"/>
      <c r="DZ92" s="183"/>
      <c r="EA92" s="183"/>
      <c r="EB92" s="183"/>
      <c r="EC92" s="183"/>
      <c r="ED92" s="190"/>
      <c r="EH92" s="46"/>
      <c r="EI92" s="45"/>
      <c r="EJ92" s="33" t="b">
        <f t="shared" si="110"/>
        <v>0</v>
      </c>
      <c r="EK92" s="42"/>
      <c r="EL92" s="42"/>
      <c r="EM92" s="42"/>
      <c r="EN92" s="439"/>
      <c r="EO92" s="439"/>
      <c r="EP92" s="439"/>
      <c r="EQ92" s="47"/>
      <c r="ER92" s="440"/>
      <c r="ES92" s="431"/>
      <c r="ET92" s="431"/>
      <c r="EU92" s="431"/>
      <c r="EV92" s="447"/>
      <c r="EZ92" s="393" t="s">
        <v>113</v>
      </c>
      <c r="FA92" s="393" t="s">
        <v>113</v>
      </c>
      <c r="FB92" s="389">
        <v>132</v>
      </c>
      <c r="FC92" s="389">
        <v>153</v>
      </c>
      <c r="FD92" s="389">
        <v>155</v>
      </c>
      <c r="FE92" s="389">
        <v>154</v>
      </c>
      <c r="FF92" s="389">
        <v>165</v>
      </c>
      <c r="FG92" s="390">
        <v>2.6143790849673205E-3</v>
      </c>
      <c r="FH92" s="390">
        <v>-1.2903225806451613E-3</v>
      </c>
      <c r="FI92" s="390">
        <v>1.4285714285714285E-2</v>
      </c>
      <c r="FJ92" s="391">
        <v>-12.071428571428571</v>
      </c>
      <c r="FK92" s="391" t="s">
        <v>1386</v>
      </c>
      <c r="FL92" s="31" t="s">
        <v>1393</v>
      </c>
      <c r="FN92" s="216" t="s">
        <v>1562</v>
      </c>
      <c r="FO92" s="216" t="s">
        <v>1563</v>
      </c>
      <c r="FP92" s="215" t="s">
        <v>1346</v>
      </c>
      <c r="FR92" s="402">
        <v>1</v>
      </c>
      <c r="FS92" s="402">
        <v>0</v>
      </c>
      <c r="FT92" s="402">
        <v>1</v>
      </c>
      <c r="FU92" s="402">
        <v>1</v>
      </c>
    </row>
    <row r="93" spans="1:177" ht="22" customHeight="1" x14ac:dyDescent="0.2">
      <c r="A93" s="13" t="s">
        <v>7</v>
      </c>
      <c r="B93" s="14" t="s">
        <v>8</v>
      </c>
      <c r="C93" s="14"/>
      <c r="D93" s="14"/>
      <c r="E93" s="216" t="s">
        <v>114</v>
      </c>
      <c r="F93" s="15" t="s">
        <v>1355</v>
      </c>
      <c r="G93" s="176" t="s">
        <v>634</v>
      </c>
      <c r="H93" s="178">
        <f t="shared" si="118"/>
        <v>1</v>
      </c>
      <c r="I93" s="178">
        <v>0</v>
      </c>
      <c r="J93" s="178"/>
      <c r="K93" s="275">
        <f t="shared" si="70"/>
        <v>1</v>
      </c>
      <c r="L93" s="284">
        <v>0</v>
      </c>
      <c r="M93" s="159"/>
      <c r="N93" s="157">
        <v>0</v>
      </c>
      <c r="O93" s="160" t="str">
        <f t="shared" si="119"/>
        <v>N/A or not found_x000D__x000D_</v>
      </c>
      <c r="P93" s="144" t="str">
        <f>CONCATENATE(V93,R93,X93)</f>
        <v>N/A or not found_x000D__x000D_</v>
      </c>
      <c r="Q93" s="360" t="s">
        <v>925</v>
      </c>
      <c r="R93" s="64" t="s">
        <v>918</v>
      </c>
      <c r="S93" s="460"/>
      <c r="T93" s="300" t="s">
        <v>925</v>
      </c>
      <c r="U93" s="301" t="s">
        <v>925</v>
      </c>
      <c r="V93" s="301" t="s">
        <v>925</v>
      </c>
      <c r="W93" s="258"/>
      <c r="X93" s="306" t="s">
        <v>834</v>
      </c>
      <c r="Y93" s="295"/>
      <c r="Z93" s="426">
        <v>1</v>
      </c>
      <c r="AA93" s="320">
        <f t="shared" si="64"/>
        <v>1</v>
      </c>
      <c r="AB93" s="320">
        <f t="shared" si="72"/>
        <v>0</v>
      </c>
      <c r="AC93" s="320">
        <f t="shared" si="73"/>
        <v>0</v>
      </c>
      <c r="AD93" s="320">
        <f t="shared" si="74"/>
        <v>0</v>
      </c>
      <c r="AE93" s="320">
        <f t="shared" si="111"/>
        <v>0</v>
      </c>
      <c r="AF93" s="320">
        <f t="shared" si="75"/>
        <v>0</v>
      </c>
      <c r="AG93" s="320">
        <f t="shared" si="63"/>
        <v>0</v>
      </c>
      <c r="AH93" s="427">
        <v>0</v>
      </c>
      <c r="AI93" s="320">
        <f t="shared" si="76"/>
        <v>0</v>
      </c>
      <c r="AJ93" s="320">
        <f t="shared" si="77"/>
        <v>0</v>
      </c>
      <c r="AK93" s="320">
        <f t="shared" si="78"/>
        <v>0</v>
      </c>
      <c r="AL93" s="320">
        <f t="shared" si="79"/>
        <v>0</v>
      </c>
      <c r="AM93" s="320">
        <f t="shared" si="80"/>
        <v>0</v>
      </c>
      <c r="AN93" s="320">
        <f t="shared" si="81"/>
        <v>0</v>
      </c>
      <c r="AO93" s="427">
        <v>0</v>
      </c>
      <c r="AP93" s="320">
        <f t="shared" si="112"/>
        <v>0</v>
      </c>
      <c r="AQ93" s="320">
        <f t="shared" si="82"/>
        <v>0</v>
      </c>
      <c r="AR93" s="320">
        <f t="shared" si="83"/>
        <v>0</v>
      </c>
      <c r="AS93" s="320">
        <f t="shared" si="84"/>
        <v>0</v>
      </c>
      <c r="AT93" s="320">
        <f t="shared" si="85"/>
        <v>0</v>
      </c>
      <c r="AU93" s="320">
        <f t="shared" si="86"/>
        <v>0</v>
      </c>
      <c r="AV93" s="427">
        <v>0</v>
      </c>
      <c r="AW93" s="320">
        <f t="shared" si="87"/>
        <v>0</v>
      </c>
      <c r="AX93" s="320">
        <f t="shared" si="88"/>
        <v>0</v>
      </c>
      <c r="AY93" s="320">
        <f t="shared" si="89"/>
        <v>0</v>
      </c>
      <c r="AZ93" s="320">
        <f t="shared" si="90"/>
        <v>0</v>
      </c>
      <c r="BA93" s="17">
        <v>0</v>
      </c>
      <c r="BB93" s="17" t="s">
        <v>839</v>
      </c>
      <c r="BC93" s="17">
        <v>0</v>
      </c>
      <c r="BD93" s="17">
        <v>0</v>
      </c>
      <c r="BE93" s="17">
        <v>0</v>
      </c>
      <c r="BF93" s="17">
        <v>0</v>
      </c>
      <c r="BG93" s="428">
        <f t="shared" si="65"/>
        <v>0</v>
      </c>
      <c r="BH93" s="17">
        <v>0</v>
      </c>
      <c r="BI93" s="17">
        <v>0</v>
      </c>
      <c r="BJ93" s="17" t="s">
        <v>834</v>
      </c>
      <c r="BK93" s="17">
        <v>0</v>
      </c>
      <c r="BL93" s="17">
        <v>0</v>
      </c>
      <c r="BM93" s="17" t="s">
        <v>834</v>
      </c>
      <c r="BN93" s="320">
        <f t="shared" si="66"/>
        <v>0</v>
      </c>
      <c r="BO93" s="320">
        <f t="shared" si="117"/>
        <v>0</v>
      </c>
      <c r="BP93" s="427">
        <v>0</v>
      </c>
      <c r="BQ93" s="427" t="s">
        <v>834</v>
      </c>
      <c r="BR93" s="320">
        <f t="shared" si="113"/>
        <v>0</v>
      </c>
      <c r="BS93" s="320">
        <f t="shared" si="113"/>
        <v>0</v>
      </c>
      <c r="BT93" s="427">
        <v>0</v>
      </c>
      <c r="BU93" s="320">
        <f t="shared" si="92"/>
        <v>0</v>
      </c>
      <c r="BV93" s="320">
        <f t="shared" si="93"/>
        <v>0</v>
      </c>
      <c r="BW93" s="320">
        <f t="shared" si="114"/>
        <v>0</v>
      </c>
      <c r="BX93" s="427">
        <v>1</v>
      </c>
      <c r="BY93" s="320">
        <f t="shared" si="94"/>
        <v>1</v>
      </c>
      <c r="BZ93" s="320">
        <f t="shared" si="95"/>
        <v>0</v>
      </c>
      <c r="CA93" s="320">
        <f t="shared" si="96"/>
        <v>0</v>
      </c>
      <c r="CB93" s="320">
        <f t="shared" si="97"/>
        <v>0</v>
      </c>
      <c r="CC93" s="427">
        <v>0</v>
      </c>
      <c r="CD93" s="320">
        <f t="shared" si="98"/>
        <v>0</v>
      </c>
      <c r="CE93" s="320">
        <f t="shared" si="99"/>
        <v>0</v>
      </c>
      <c r="CF93" s="320">
        <f t="shared" si="100"/>
        <v>0</v>
      </c>
      <c r="CG93" s="320">
        <f t="shared" si="101"/>
        <v>0</v>
      </c>
      <c r="CH93" s="427">
        <v>1</v>
      </c>
      <c r="CI93" s="427">
        <v>0</v>
      </c>
      <c r="CJ93" s="427">
        <v>0</v>
      </c>
      <c r="CK93" s="427">
        <v>1</v>
      </c>
      <c r="CL93" s="320">
        <f t="shared" si="116"/>
        <v>1</v>
      </c>
      <c r="CM93" s="320">
        <f t="shared" si="102"/>
        <v>0</v>
      </c>
      <c r="CN93" s="320">
        <f t="shared" si="103"/>
        <v>0</v>
      </c>
      <c r="CO93" s="320">
        <f t="shared" si="104"/>
        <v>0</v>
      </c>
      <c r="CP93" s="427">
        <v>1</v>
      </c>
      <c r="CQ93" s="427">
        <v>2</v>
      </c>
      <c r="CR93" s="320">
        <f t="shared" si="105"/>
        <v>0</v>
      </c>
      <c r="CS93" s="320">
        <f t="shared" si="115"/>
        <v>0</v>
      </c>
      <c r="CT93" s="320">
        <f t="shared" ref="CT93:CT156" si="120">IF(ISNUMBER(SEARCH("2",$CQ93)),1,0)</f>
        <v>1</v>
      </c>
      <c r="CU93" s="320">
        <f t="shared" ref="CU93:CU156" si="121">IF(ISNUMBER(SEARCH("3",$CQ93)),1,0)</f>
        <v>0</v>
      </c>
      <c r="CV93" s="427">
        <v>0</v>
      </c>
      <c r="CW93" s="17">
        <v>4</v>
      </c>
      <c r="CX93" s="320">
        <f t="shared" ref="CX93:CX156" si="122">IF(ISNUMBER(SEARCH("1",$CW93)),1,0)</f>
        <v>0</v>
      </c>
      <c r="CY93" s="320">
        <f t="shared" si="107"/>
        <v>0</v>
      </c>
      <c r="CZ93" s="320">
        <f t="shared" si="108"/>
        <v>0</v>
      </c>
      <c r="DA93" s="17">
        <v>0</v>
      </c>
      <c r="DB93" s="17">
        <v>0</v>
      </c>
      <c r="DC93" s="17">
        <v>0</v>
      </c>
      <c r="DD93" s="31"/>
      <c r="DE93" s="352" t="s">
        <v>388</v>
      </c>
      <c r="DF93" s="352" t="s">
        <v>388</v>
      </c>
      <c r="DG93" s="352" t="s">
        <v>388</v>
      </c>
      <c r="DH93" s="352" t="s">
        <v>388</v>
      </c>
      <c r="DI93" s="346" t="s">
        <v>388</v>
      </c>
      <c r="DJ93" s="352" t="s">
        <v>388</v>
      </c>
      <c r="DK93" s="354" t="s">
        <v>1110</v>
      </c>
      <c r="DL93" s="352" t="s">
        <v>388</v>
      </c>
      <c r="DM93" s="352" t="s">
        <v>388</v>
      </c>
      <c r="DN93" s="352" t="s">
        <v>388</v>
      </c>
      <c r="DO93" s="352" t="s">
        <v>388</v>
      </c>
      <c r="DP93" s="353">
        <v>1</v>
      </c>
      <c r="DQ93" s="381"/>
      <c r="DR93" s="239">
        <f>SUM(DS93:DX93)/6</f>
        <v>0.12067230273752012</v>
      </c>
      <c r="DS93" s="429">
        <f t="shared" si="109"/>
        <v>4.3478260869565216E-2</v>
      </c>
      <c r="DT93" s="429">
        <f>SUM(BA93:BE93,BG93)/5</f>
        <v>0</v>
      </c>
      <c r="DU93" s="429">
        <f>SUM(BI93,BO93,BS93,BU93:BW93)/6</f>
        <v>0</v>
      </c>
      <c r="DV93" s="429">
        <f>SUM(BY93-CB93,CD93-CG93)/8</f>
        <v>0.125</v>
      </c>
      <c r="DW93" s="429">
        <f>SUM(CH93:CJ93,CL93:CO93,BN93,BR93)/9</f>
        <v>0.22222222222222221</v>
      </c>
      <c r="DX93" s="429">
        <f>SUM(CP93,CR93:CV93)/6</f>
        <v>0.33333333333333331</v>
      </c>
      <c r="DY93" s="461"/>
      <c r="DZ93" s="183"/>
      <c r="EA93" s="183"/>
      <c r="EB93" s="183"/>
      <c r="EC93" s="183"/>
      <c r="ED93" s="190"/>
      <c r="EH93" s="44">
        <v>0</v>
      </c>
      <c r="EI93" s="45"/>
      <c r="EJ93" s="33" t="b">
        <f t="shared" si="110"/>
        <v>0</v>
      </c>
      <c r="EK93" s="42"/>
      <c r="EL93" s="42"/>
      <c r="EM93" s="42"/>
      <c r="EN93" s="439"/>
      <c r="EO93" s="439"/>
      <c r="EP93" s="439"/>
      <c r="EQ93" s="38"/>
      <c r="ER93" s="440">
        <v>1</v>
      </c>
      <c r="ES93" s="431"/>
      <c r="ET93" s="431"/>
      <c r="EU93" s="431"/>
      <c r="EV93" s="447"/>
      <c r="EZ93" s="393" t="s">
        <v>114</v>
      </c>
      <c r="FA93" s="393" t="s">
        <v>114</v>
      </c>
      <c r="FB93" s="389">
        <v>7590</v>
      </c>
      <c r="FC93" s="389">
        <v>8369</v>
      </c>
      <c r="FD93" s="389">
        <v>8759</v>
      </c>
      <c r="FE93" s="389">
        <v>9028</v>
      </c>
      <c r="FF93" s="389">
        <v>9297</v>
      </c>
      <c r="FG93" s="390">
        <v>9.3201099295017326E-3</v>
      </c>
      <c r="FH93" s="390">
        <v>6.1422536819271609E-3</v>
      </c>
      <c r="FI93" s="390">
        <v>5.9592379264510418E-3</v>
      </c>
      <c r="FJ93" s="391" t="s">
        <v>1389</v>
      </c>
      <c r="FK93" s="391">
        <v>-2.9796189632255148E-2</v>
      </c>
      <c r="FL93" s="31" t="s">
        <v>1394</v>
      </c>
      <c r="FN93" s="216" t="s">
        <v>1564</v>
      </c>
      <c r="FO93" s="216" t="s">
        <v>1565</v>
      </c>
      <c r="FP93" s="215" t="s">
        <v>1346</v>
      </c>
      <c r="FR93" s="402">
        <v>1</v>
      </c>
      <c r="FS93" s="402">
        <v>0</v>
      </c>
      <c r="FT93" s="402">
        <v>1</v>
      </c>
      <c r="FU93" s="402">
        <v>1</v>
      </c>
    </row>
    <row r="94" spans="1:177" ht="22" hidden="1" customHeight="1" x14ac:dyDescent="0.2">
      <c r="A94" s="13" t="s">
        <v>16</v>
      </c>
      <c r="B94" s="19" t="s">
        <v>17</v>
      </c>
      <c r="C94" s="9" t="s">
        <v>1035</v>
      </c>
      <c r="D94" s="19"/>
      <c r="E94" s="128" t="s">
        <v>115</v>
      </c>
      <c r="F94" s="15"/>
      <c r="G94" s="15" t="s">
        <v>634</v>
      </c>
      <c r="H94" s="95">
        <f t="shared" si="118"/>
        <v>1</v>
      </c>
      <c r="I94" s="95">
        <f t="shared" ref="I94:I157" si="123">IF(L94=0,0,2)</f>
        <v>0</v>
      </c>
      <c r="J94" s="95"/>
      <c r="K94" s="256">
        <f t="shared" si="70"/>
        <v>1</v>
      </c>
      <c r="L94" s="278">
        <v>0</v>
      </c>
      <c r="M94" s="25"/>
      <c r="N94" s="89"/>
      <c r="O94" s="144" t="str">
        <f t="shared" si="119"/>
        <v>_x000D__x000D_</v>
      </c>
      <c r="P94" s="144" t="str">
        <f>CONCATENATE(V94,R94,X94)</f>
        <v>_x000D__x000D_</v>
      </c>
      <c r="Q94" s="55"/>
      <c r="R94" s="64" t="s">
        <v>918</v>
      </c>
      <c r="S94" s="425"/>
      <c r="T94" s="300" t="s">
        <v>834</v>
      </c>
      <c r="U94" s="301" t="s">
        <v>834</v>
      </c>
      <c r="V94" s="301" t="s">
        <v>834</v>
      </c>
      <c r="W94" s="258"/>
      <c r="X94" s="307" t="s">
        <v>834</v>
      </c>
      <c r="Y94" s="274"/>
      <c r="Z94" s="426"/>
      <c r="AA94" s="320">
        <f t="shared" si="64"/>
        <v>0</v>
      </c>
      <c r="AB94" s="320">
        <f t="shared" si="72"/>
        <v>0</v>
      </c>
      <c r="AC94" s="320">
        <f t="shared" si="73"/>
        <v>0</v>
      </c>
      <c r="AD94" s="320">
        <f t="shared" si="74"/>
        <v>0</v>
      </c>
      <c r="AE94" s="320">
        <f t="shared" si="111"/>
        <v>0</v>
      </c>
      <c r="AF94" s="320">
        <f t="shared" si="75"/>
        <v>0</v>
      </c>
      <c r="AG94" s="320">
        <f t="shared" si="63"/>
        <v>0</v>
      </c>
      <c r="AH94" s="427"/>
      <c r="AI94" s="320">
        <f t="shared" si="76"/>
        <v>0</v>
      </c>
      <c r="AJ94" s="320">
        <f t="shared" si="77"/>
        <v>0</v>
      </c>
      <c r="AK94" s="320">
        <f t="shared" si="78"/>
        <v>0</v>
      </c>
      <c r="AL94" s="320">
        <f t="shared" si="79"/>
        <v>0</v>
      </c>
      <c r="AM94" s="320">
        <f t="shared" si="80"/>
        <v>0</v>
      </c>
      <c r="AN94" s="320">
        <f t="shared" si="81"/>
        <v>0</v>
      </c>
      <c r="AO94" s="427"/>
      <c r="AP94" s="320">
        <f t="shared" si="112"/>
        <v>0</v>
      </c>
      <c r="AQ94" s="320">
        <f t="shared" si="82"/>
        <v>0</v>
      </c>
      <c r="AR94" s="320">
        <f t="shared" si="83"/>
        <v>0</v>
      </c>
      <c r="AS94" s="320">
        <f t="shared" si="84"/>
        <v>0</v>
      </c>
      <c r="AT94" s="320">
        <f t="shared" si="85"/>
        <v>0</v>
      </c>
      <c r="AU94" s="320">
        <f t="shared" si="86"/>
        <v>0</v>
      </c>
      <c r="AV94" s="427"/>
      <c r="AW94" s="320">
        <f t="shared" si="87"/>
        <v>0</v>
      </c>
      <c r="AX94" s="320">
        <f t="shared" si="88"/>
        <v>0</v>
      </c>
      <c r="AY94" s="320">
        <f t="shared" si="89"/>
        <v>0</v>
      </c>
      <c r="AZ94" s="320">
        <f t="shared" si="90"/>
        <v>0</v>
      </c>
      <c r="BA94" s="17"/>
      <c r="BB94" s="17" t="s">
        <v>834</v>
      </c>
      <c r="BC94" s="17"/>
      <c r="BD94" s="17"/>
      <c r="BE94" s="17"/>
      <c r="BF94" s="17"/>
      <c r="BG94" s="428">
        <f t="shared" si="65"/>
        <v>0</v>
      </c>
      <c r="BH94" s="17"/>
      <c r="BI94" s="17"/>
      <c r="BJ94" s="17"/>
      <c r="BK94" s="17"/>
      <c r="BL94" s="17"/>
      <c r="BM94" s="17"/>
      <c r="BN94" s="320">
        <f t="shared" si="66"/>
        <v>0</v>
      </c>
      <c r="BO94" s="320">
        <f t="shared" si="117"/>
        <v>0</v>
      </c>
      <c r="BP94" s="427"/>
      <c r="BQ94" s="427"/>
      <c r="BR94" s="320">
        <f t="shared" si="113"/>
        <v>0</v>
      </c>
      <c r="BS94" s="320">
        <f t="shared" si="113"/>
        <v>0</v>
      </c>
      <c r="BT94" s="427"/>
      <c r="BU94" s="320">
        <f t="shared" si="92"/>
        <v>0</v>
      </c>
      <c r="BV94" s="320">
        <f t="shared" si="93"/>
        <v>0</v>
      </c>
      <c r="BW94" s="320">
        <f t="shared" si="114"/>
        <v>0</v>
      </c>
      <c r="BX94" s="427"/>
      <c r="BY94" s="320">
        <f t="shared" si="94"/>
        <v>0</v>
      </c>
      <c r="BZ94" s="320">
        <f t="shared" si="95"/>
        <v>0</v>
      </c>
      <c r="CA94" s="320">
        <f t="shared" si="96"/>
        <v>0</v>
      </c>
      <c r="CB94" s="320">
        <f t="shared" si="97"/>
        <v>0</v>
      </c>
      <c r="CC94" s="427"/>
      <c r="CD94" s="320">
        <f t="shared" si="98"/>
        <v>0</v>
      </c>
      <c r="CE94" s="320">
        <f t="shared" si="99"/>
        <v>0</v>
      </c>
      <c r="CF94" s="320">
        <f t="shared" si="100"/>
        <v>0</v>
      </c>
      <c r="CG94" s="320">
        <f t="shared" si="101"/>
        <v>0</v>
      </c>
      <c r="CH94" s="427"/>
      <c r="CI94" s="427"/>
      <c r="CJ94" s="427"/>
      <c r="CK94" s="427"/>
      <c r="CL94" s="320">
        <f t="shared" si="116"/>
        <v>0</v>
      </c>
      <c r="CM94" s="320">
        <f t="shared" si="102"/>
        <v>0</v>
      </c>
      <c r="CN94" s="320">
        <f t="shared" si="103"/>
        <v>0</v>
      </c>
      <c r="CO94" s="320">
        <f t="shared" si="104"/>
        <v>0</v>
      </c>
      <c r="CP94" s="427"/>
      <c r="CQ94" s="427"/>
      <c r="CR94" s="320">
        <f t="shared" si="105"/>
        <v>0</v>
      </c>
      <c r="CS94" s="320">
        <f t="shared" si="115"/>
        <v>0</v>
      </c>
      <c r="CT94" s="320">
        <f t="shared" si="120"/>
        <v>0</v>
      </c>
      <c r="CU94" s="320">
        <f t="shared" si="121"/>
        <v>0</v>
      </c>
      <c r="CV94" s="427"/>
      <c r="CW94" s="17"/>
      <c r="CX94" s="320">
        <f t="shared" si="122"/>
        <v>0</v>
      </c>
      <c r="CY94" s="320">
        <f t="shared" si="107"/>
        <v>0</v>
      </c>
      <c r="CZ94" s="320">
        <f t="shared" si="108"/>
        <v>0</v>
      </c>
      <c r="DA94" s="17"/>
      <c r="DB94" s="17"/>
      <c r="DC94" s="17"/>
      <c r="DD94" s="31"/>
      <c r="DE94" s="321"/>
      <c r="DF94" s="321"/>
      <c r="DG94" s="321"/>
      <c r="DH94" s="321"/>
      <c r="DI94" s="321"/>
      <c r="DJ94" s="321"/>
      <c r="DK94" s="321"/>
      <c r="DL94" s="321"/>
      <c r="DM94" s="321"/>
      <c r="DN94" s="321"/>
      <c r="DO94" s="321"/>
      <c r="DP94" s="322"/>
      <c r="DQ94" s="288"/>
      <c r="DR94" s="241"/>
      <c r="DS94" s="429">
        <f t="shared" si="109"/>
        <v>0</v>
      </c>
      <c r="DT94" s="429">
        <f>SUM(BA94:BF94)/5</f>
        <v>0</v>
      </c>
      <c r="DU94" s="429"/>
      <c r="DV94" s="429"/>
      <c r="DW94" s="429"/>
      <c r="DX94" s="429"/>
      <c r="DY94" s="429"/>
      <c r="DZ94" s="134"/>
      <c r="EA94" s="134"/>
      <c r="EB94" s="134"/>
      <c r="EC94" s="134"/>
      <c r="ED94" s="123"/>
      <c r="EH94" s="46"/>
      <c r="EI94" s="45"/>
      <c r="EJ94" s="33" t="b">
        <f t="shared" si="110"/>
        <v>0</v>
      </c>
      <c r="EK94" s="42"/>
      <c r="EL94" s="42"/>
      <c r="EM94" s="42"/>
      <c r="EN94" s="439"/>
      <c r="EO94" s="439"/>
      <c r="EP94" s="439"/>
      <c r="EQ94" s="47"/>
      <c r="ER94" s="440"/>
      <c r="ES94" s="431"/>
      <c r="ET94" s="431"/>
      <c r="EU94" s="431"/>
      <c r="EV94" s="447"/>
      <c r="EZ94" s="393" t="s">
        <v>115</v>
      </c>
      <c r="FA94" s="393" t="s">
        <v>115</v>
      </c>
      <c r="FB94" s="389">
        <v>344.6</v>
      </c>
      <c r="FC94" s="389">
        <v>340.9</v>
      </c>
      <c r="FD94" s="389">
        <v>339.2</v>
      </c>
      <c r="FE94" s="389">
        <v>337.1</v>
      </c>
      <c r="FF94" s="389">
        <v>335.2</v>
      </c>
      <c r="FG94" s="390">
        <v>-9.9735992959811589E-4</v>
      </c>
      <c r="FH94" s="390">
        <v>-1.2382075471697913E-3</v>
      </c>
      <c r="FI94" s="390">
        <v>-1.1272619400771486E-3</v>
      </c>
      <c r="FJ94" s="391">
        <v>-8.9601785537678641E-2</v>
      </c>
      <c r="FK94" s="391" t="s">
        <v>1386</v>
      </c>
      <c r="FL94" s="31" t="s">
        <v>1391</v>
      </c>
      <c r="FN94" s="128" t="s">
        <v>1566</v>
      </c>
      <c r="FO94" s="128" t="s">
        <v>1567</v>
      </c>
      <c r="FP94" s="128"/>
    </row>
    <row r="95" spans="1:177" ht="22" hidden="1" customHeight="1" x14ac:dyDescent="0.2">
      <c r="A95" s="13" t="s">
        <v>4</v>
      </c>
      <c r="B95" s="14" t="s">
        <v>62</v>
      </c>
      <c r="C95" s="9" t="s">
        <v>1036</v>
      </c>
      <c r="D95" s="14" t="s">
        <v>1068</v>
      </c>
      <c r="E95" s="128" t="s">
        <v>116</v>
      </c>
      <c r="F95" s="15" t="s">
        <v>638</v>
      </c>
      <c r="G95" s="15" t="s">
        <v>635</v>
      </c>
      <c r="H95" s="91">
        <f t="shared" si="118"/>
        <v>0</v>
      </c>
      <c r="I95" s="95">
        <f t="shared" si="123"/>
        <v>2</v>
      </c>
      <c r="J95" s="91"/>
      <c r="K95" s="256">
        <f t="shared" si="70"/>
        <v>2</v>
      </c>
      <c r="L95" s="101" t="s">
        <v>678</v>
      </c>
      <c r="M95" s="25">
        <v>1</v>
      </c>
      <c r="N95" s="89"/>
      <c r="O95" s="98" t="str">
        <f t="shared" si="119"/>
        <v>_x000D__x000D_</v>
      </c>
      <c r="P95" s="144" t="str">
        <f>CONCATENATE(V95,R95,X95)</f>
        <v xml:space="preserve">N/A or not found_x000D__x000D_ </v>
      </c>
      <c r="Q95" s="55"/>
      <c r="R95" s="64" t="s">
        <v>918</v>
      </c>
      <c r="S95" s="425"/>
      <c r="T95" s="300" t="s">
        <v>844</v>
      </c>
      <c r="U95" s="300" t="s">
        <v>892</v>
      </c>
      <c r="V95" s="300" t="s">
        <v>925</v>
      </c>
      <c r="W95" s="258"/>
      <c r="X95" s="307" t="s">
        <v>924</v>
      </c>
      <c r="Y95" s="274"/>
      <c r="Z95" s="426">
        <v>1</v>
      </c>
      <c r="AA95" s="320">
        <f t="shared" si="64"/>
        <v>1</v>
      </c>
      <c r="AB95" s="320">
        <f t="shared" si="72"/>
        <v>0</v>
      </c>
      <c r="AC95" s="320">
        <f t="shared" si="73"/>
        <v>0</v>
      </c>
      <c r="AD95" s="320">
        <f t="shared" si="74"/>
        <v>0</v>
      </c>
      <c r="AE95" s="320">
        <f t="shared" si="111"/>
        <v>0</v>
      </c>
      <c r="AF95" s="320">
        <f t="shared" si="75"/>
        <v>0</v>
      </c>
      <c r="AG95" s="320">
        <f t="shared" si="63"/>
        <v>0</v>
      </c>
      <c r="AH95" s="427">
        <v>0</v>
      </c>
      <c r="AI95" s="320">
        <f t="shared" si="76"/>
        <v>0</v>
      </c>
      <c r="AJ95" s="320">
        <f t="shared" si="77"/>
        <v>0</v>
      </c>
      <c r="AK95" s="320">
        <f t="shared" si="78"/>
        <v>0</v>
      </c>
      <c r="AL95" s="320">
        <f t="shared" si="79"/>
        <v>0</v>
      </c>
      <c r="AM95" s="320">
        <f t="shared" si="80"/>
        <v>0</v>
      </c>
      <c r="AN95" s="320">
        <f t="shared" si="81"/>
        <v>0</v>
      </c>
      <c r="AO95" s="427">
        <v>0</v>
      </c>
      <c r="AP95" s="320">
        <f t="shared" si="112"/>
        <v>0</v>
      </c>
      <c r="AQ95" s="320">
        <f t="shared" si="82"/>
        <v>0</v>
      </c>
      <c r="AR95" s="320">
        <f t="shared" si="83"/>
        <v>0</v>
      </c>
      <c r="AS95" s="320">
        <f t="shared" si="84"/>
        <v>0</v>
      </c>
      <c r="AT95" s="320">
        <f t="shared" si="85"/>
        <v>0</v>
      </c>
      <c r="AU95" s="320">
        <f t="shared" si="86"/>
        <v>0</v>
      </c>
      <c r="AV95" s="427">
        <v>0</v>
      </c>
      <c r="AW95" s="320">
        <f t="shared" si="87"/>
        <v>0</v>
      </c>
      <c r="AX95" s="320">
        <f t="shared" si="88"/>
        <v>0</v>
      </c>
      <c r="AY95" s="320">
        <f t="shared" si="89"/>
        <v>0</v>
      </c>
      <c r="AZ95" s="320">
        <f t="shared" si="90"/>
        <v>0</v>
      </c>
      <c r="BA95" s="17">
        <v>1</v>
      </c>
      <c r="BB95" s="17" t="s">
        <v>844</v>
      </c>
      <c r="BC95" s="17">
        <v>0</v>
      </c>
      <c r="BD95" s="17">
        <v>1</v>
      </c>
      <c r="BE95" s="17">
        <v>0</v>
      </c>
      <c r="BF95" s="17">
        <v>0</v>
      </c>
      <c r="BG95" s="428">
        <f t="shared" si="65"/>
        <v>0</v>
      </c>
      <c r="BH95" s="17">
        <v>1</v>
      </c>
      <c r="BI95" s="17">
        <v>1</v>
      </c>
      <c r="BJ95" s="17" t="s">
        <v>892</v>
      </c>
      <c r="BK95" s="17"/>
      <c r="BL95" s="17">
        <v>1</v>
      </c>
      <c r="BM95" s="17" t="s">
        <v>1197</v>
      </c>
      <c r="BN95" s="320">
        <f t="shared" si="66"/>
        <v>1</v>
      </c>
      <c r="BO95" s="320">
        <f t="shared" si="117"/>
        <v>0</v>
      </c>
      <c r="BP95" s="427">
        <v>1</v>
      </c>
      <c r="BQ95" s="427" t="s">
        <v>1198</v>
      </c>
      <c r="BR95" s="320">
        <f t="shared" si="113"/>
        <v>1</v>
      </c>
      <c r="BS95" s="320">
        <f>IF(ISNUMBER(SEARCH("t",$BP95)),1,0)</f>
        <v>0</v>
      </c>
      <c r="BT95" s="427">
        <v>0</v>
      </c>
      <c r="BU95" s="320">
        <f t="shared" si="92"/>
        <v>0</v>
      </c>
      <c r="BV95" s="320">
        <f t="shared" si="93"/>
        <v>0</v>
      </c>
      <c r="BW95" s="320">
        <f t="shared" si="114"/>
        <v>0</v>
      </c>
      <c r="BX95" s="427" t="s">
        <v>315</v>
      </c>
      <c r="BY95" s="320">
        <f t="shared" si="94"/>
        <v>1</v>
      </c>
      <c r="BZ95" s="320">
        <f t="shared" si="95"/>
        <v>0</v>
      </c>
      <c r="CA95" s="320">
        <f t="shared" si="96"/>
        <v>1</v>
      </c>
      <c r="CB95" s="320">
        <f t="shared" si="97"/>
        <v>0</v>
      </c>
      <c r="CC95" s="427">
        <v>1</v>
      </c>
      <c r="CD95" s="320">
        <f t="shared" si="98"/>
        <v>1</v>
      </c>
      <c r="CE95" s="320">
        <f t="shared" si="99"/>
        <v>0</v>
      </c>
      <c r="CF95" s="320">
        <f t="shared" si="100"/>
        <v>0</v>
      </c>
      <c r="CG95" s="320">
        <f t="shared" si="101"/>
        <v>0</v>
      </c>
      <c r="CH95" s="427">
        <v>0</v>
      </c>
      <c r="CI95" s="427">
        <v>0</v>
      </c>
      <c r="CJ95" s="427">
        <v>0</v>
      </c>
      <c r="CK95" s="427">
        <v>0</v>
      </c>
      <c r="CL95" s="320">
        <f t="shared" si="116"/>
        <v>0</v>
      </c>
      <c r="CM95" s="320">
        <f t="shared" si="102"/>
        <v>0</v>
      </c>
      <c r="CN95" s="320">
        <f t="shared" si="103"/>
        <v>0</v>
      </c>
      <c r="CO95" s="320">
        <f t="shared" si="104"/>
        <v>0</v>
      </c>
      <c r="CP95" s="427">
        <v>1</v>
      </c>
      <c r="CQ95" s="427" t="s">
        <v>317</v>
      </c>
      <c r="CR95" s="320">
        <f t="shared" si="105"/>
        <v>1</v>
      </c>
      <c r="CS95" s="320">
        <f t="shared" si="115"/>
        <v>0</v>
      </c>
      <c r="CT95" s="320">
        <f t="shared" si="120"/>
        <v>1</v>
      </c>
      <c r="CU95" s="320">
        <f t="shared" si="121"/>
        <v>0</v>
      </c>
      <c r="CV95" s="427">
        <v>1</v>
      </c>
      <c r="CW95" s="17">
        <v>0</v>
      </c>
      <c r="CX95" s="320">
        <f t="shared" si="122"/>
        <v>0</v>
      </c>
      <c r="CY95" s="320">
        <f t="shared" si="107"/>
        <v>0</v>
      </c>
      <c r="CZ95" s="320">
        <f t="shared" si="108"/>
        <v>0</v>
      </c>
      <c r="DA95" s="17">
        <v>0</v>
      </c>
      <c r="DB95" s="17">
        <v>0</v>
      </c>
      <c r="DC95" s="17">
        <v>0</v>
      </c>
      <c r="DD95" s="31"/>
      <c r="DE95" s="323" t="s">
        <v>387</v>
      </c>
      <c r="DF95" s="323"/>
      <c r="DG95" s="323"/>
      <c r="DH95" s="323" t="s">
        <v>392</v>
      </c>
      <c r="DI95" s="323"/>
      <c r="DJ95" s="323"/>
      <c r="DK95" s="323"/>
      <c r="DL95" s="323"/>
      <c r="DM95" s="323" t="s">
        <v>475</v>
      </c>
      <c r="DN95" s="323"/>
      <c r="DO95" s="323"/>
      <c r="DP95" s="324"/>
      <c r="DQ95" s="288"/>
      <c r="DR95" s="240">
        <f>SUM(DS95:DX95)/6</f>
        <v>0.29150563607085345</v>
      </c>
      <c r="DS95" s="429">
        <f t="shared" si="109"/>
        <v>4.3478260869565216E-2</v>
      </c>
      <c r="DT95" s="429">
        <f>SUM(BA95:BE95,BG95)/5</f>
        <v>0.4</v>
      </c>
      <c r="DU95" s="429">
        <f>SUM(BI95,BO95,BS95,BU95:BW95)/6</f>
        <v>0.16666666666666666</v>
      </c>
      <c r="DV95" s="429">
        <f>SUM(BY95-CB95,CD95-CG95)/8</f>
        <v>0.25</v>
      </c>
      <c r="DW95" s="429">
        <f>SUM(CH95:CJ95,CL95:CO95,BN95,BR95)/9</f>
        <v>0.22222222222222221</v>
      </c>
      <c r="DX95" s="429">
        <f>SUM(CP95,CR95:CV95)/6</f>
        <v>0.66666666666666663</v>
      </c>
      <c r="DY95" s="444"/>
      <c r="DZ95" s="137" t="s">
        <v>288</v>
      </c>
      <c r="EA95" s="135"/>
      <c r="EB95" s="137" t="s">
        <v>759</v>
      </c>
      <c r="EC95" s="137" t="s">
        <v>760</v>
      </c>
      <c r="ED95" s="124">
        <v>1</v>
      </c>
      <c r="EH95" s="170"/>
      <c r="EI95" s="165"/>
      <c r="EJ95" s="165" t="e">
        <f t="shared" si="110"/>
        <v>#VALUE!</v>
      </c>
      <c r="EK95" s="173"/>
      <c r="EL95" s="173"/>
      <c r="EM95" s="173"/>
      <c r="EN95" s="173"/>
      <c r="EO95" s="173"/>
      <c r="EP95" s="173"/>
      <c r="EQ95" s="172"/>
      <c r="ER95" s="471"/>
      <c r="ES95" s="472"/>
      <c r="ET95" s="472"/>
      <c r="EU95" s="472"/>
      <c r="EV95" s="473"/>
      <c r="EZ95" s="393" t="s">
        <v>116</v>
      </c>
      <c r="FA95" s="393" t="s">
        <v>116</v>
      </c>
      <c r="FB95" s="389">
        <v>24950</v>
      </c>
      <c r="FC95" s="389">
        <v>24876</v>
      </c>
      <c r="FD95" s="389">
        <v>24935</v>
      </c>
      <c r="FE95" s="389">
        <v>24966</v>
      </c>
      <c r="FF95" s="389">
        <v>24958</v>
      </c>
      <c r="FG95" s="390">
        <v>4.7435278983759446E-4</v>
      </c>
      <c r="FH95" s="390">
        <v>2.4864648085021055E-4</v>
      </c>
      <c r="FI95" s="390">
        <v>-6.4087158535608427E-5</v>
      </c>
      <c r="FJ95" s="391" t="s">
        <v>1389</v>
      </c>
      <c r="FK95" s="391">
        <v>-1.2577440803363542</v>
      </c>
      <c r="FL95" s="31" t="s">
        <v>1390</v>
      </c>
      <c r="FN95" s="128" t="s">
        <v>1568</v>
      </c>
      <c r="FO95" s="128" t="s">
        <v>1569</v>
      </c>
      <c r="FP95" s="128"/>
    </row>
    <row r="96" spans="1:177" ht="22" customHeight="1" x14ac:dyDescent="0.2">
      <c r="A96" s="13" t="s">
        <v>4</v>
      </c>
      <c r="B96" s="14" t="s">
        <v>21</v>
      </c>
      <c r="C96" s="14"/>
      <c r="D96" s="14"/>
      <c r="E96" s="216" t="s">
        <v>117</v>
      </c>
      <c r="F96" s="15" t="s">
        <v>1357</v>
      </c>
      <c r="G96" s="176" t="s">
        <v>635</v>
      </c>
      <c r="H96" s="178">
        <f t="shared" si="118"/>
        <v>0</v>
      </c>
      <c r="I96" s="178">
        <f t="shared" si="123"/>
        <v>0</v>
      </c>
      <c r="J96" s="178"/>
      <c r="K96" s="275">
        <f t="shared" si="70"/>
        <v>0</v>
      </c>
      <c r="L96" s="284">
        <v>0</v>
      </c>
      <c r="M96" s="159"/>
      <c r="N96" s="157">
        <v>0</v>
      </c>
      <c r="O96" s="160" t="str">
        <f t="shared" si="119"/>
        <v>Afforesting 25% of barren forest areas in the rain belt areas on which the rate of precipitation exceeds 300 mm. _x000D__x000D_</v>
      </c>
      <c r="P96" s="144" t="str">
        <f>CONCATENATE(V96,R96,X96)</f>
        <v>N/A or not found_x000D__x000D_The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project._x000D_In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are:_x000D_—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2020);_x000D_— Establishing, in partnership with RSCN, a specialized unit that is responsible for implementing the adaptation strategies, liaising with different national stakeholders and formulating a range of ecosystem adaptation projects within Jordan (time frame : by 2025);_x000D_— Undertaking more research on vulnerable ecosystems and communities and appropriate adaptation priorities, in addition to identifying indicator species and carry out monitoring programs on climate change impact on key species. (time frame : by 2030);_x000D_— Enhancing the resilience of local communities impacted by climate change in areas within and surrounding PAs (including community-based pilot adaptation projects) (time frame : by 2030)._x000D_—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2030)._x000D_The total cost of the above activities is USD 3,000,000. The information of portions of fund secures by involved sector’s own means versus amount of funds not secured is not available at the time of preparing this document and could be obtained from the activesaid sector._x000D__x000D_[Adaptation strategies in the agricultural sector include]_x000D_— Crop diversification: including integration of different varieties of crops, both food and cash crops which will increase farmers’ income;_x000D_—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v>
      </c>
      <c r="Q96" s="361" t="s">
        <v>1125</v>
      </c>
      <c r="R96" s="64" t="s">
        <v>918</v>
      </c>
      <c r="S96" s="460"/>
      <c r="T96" s="300" t="s">
        <v>925</v>
      </c>
      <c r="U96" s="318" t="s">
        <v>1107</v>
      </c>
      <c r="V96" s="301" t="s">
        <v>925</v>
      </c>
      <c r="W96" s="258"/>
      <c r="X96" s="306" t="s">
        <v>1120</v>
      </c>
      <c r="Y96" s="296"/>
      <c r="Z96" s="426" t="s">
        <v>813</v>
      </c>
      <c r="AA96" s="320">
        <f t="shared" si="64"/>
        <v>1</v>
      </c>
      <c r="AB96" s="320">
        <f t="shared" si="72"/>
        <v>0</v>
      </c>
      <c r="AC96" s="320">
        <f t="shared" si="73"/>
        <v>0</v>
      </c>
      <c r="AD96" s="320">
        <f t="shared" si="74"/>
        <v>0</v>
      </c>
      <c r="AE96" s="320">
        <f t="shared" si="111"/>
        <v>1</v>
      </c>
      <c r="AF96" s="320">
        <f t="shared" si="75"/>
        <v>1</v>
      </c>
      <c r="AG96" s="320">
        <f t="shared" si="63"/>
        <v>1</v>
      </c>
      <c r="AH96" s="427">
        <v>0</v>
      </c>
      <c r="AI96" s="320">
        <f t="shared" si="76"/>
        <v>0</v>
      </c>
      <c r="AJ96" s="320">
        <f t="shared" si="77"/>
        <v>0</v>
      </c>
      <c r="AK96" s="320">
        <f t="shared" si="78"/>
        <v>0</v>
      </c>
      <c r="AL96" s="320">
        <f t="shared" si="79"/>
        <v>0</v>
      </c>
      <c r="AM96" s="320">
        <f t="shared" si="80"/>
        <v>0</v>
      </c>
      <c r="AN96" s="320">
        <f t="shared" si="81"/>
        <v>0</v>
      </c>
      <c r="AO96" s="427">
        <v>0</v>
      </c>
      <c r="AP96" s="320">
        <f t="shared" si="112"/>
        <v>0</v>
      </c>
      <c r="AQ96" s="320">
        <f t="shared" si="82"/>
        <v>0</v>
      </c>
      <c r="AR96" s="320">
        <f t="shared" si="83"/>
        <v>0</v>
      </c>
      <c r="AS96" s="320">
        <f t="shared" si="84"/>
        <v>0</v>
      </c>
      <c r="AT96" s="320">
        <f t="shared" si="85"/>
        <v>0</v>
      </c>
      <c r="AU96" s="320">
        <f t="shared" si="86"/>
        <v>0</v>
      </c>
      <c r="AV96" s="427">
        <v>0</v>
      </c>
      <c r="AW96" s="320">
        <f t="shared" si="87"/>
        <v>0</v>
      </c>
      <c r="AX96" s="320">
        <f t="shared" si="88"/>
        <v>0</v>
      </c>
      <c r="AY96" s="320">
        <f t="shared" si="89"/>
        <v>0</v>
      </c>
      <c r="AZ96" s="320">
        <f t="shared" si="90"/>
        <v>0</v>
      </c>
      <c r="BA96" s="17">
        <v>0</v>
      </c>
      <c r="BB96" s="17" t="s">
        <v>834</v>
      </c>
      <c r="BC96" s="17">
        <v>0</v>
      </c>
      <c r="BD96" s="17">
        <v>0</v>
      </c>
      <c r="BE96" s="17">
        <v>0</v>
      </c>
      <c r="BF96" s="17">
        <v>0</v>
      </c>
      <c r="BG96" s="428">
        <f t="shared" si="65"/>
        <v>0</v>
      </c>
      <c r="BH96" s="17">
        <v>0</v>
      </c>
      <c r="BI96" s="17">
        <v>1</v>
      </c>
      <c r="BJ96" s="17" t="s">
        <v>1187</v>
      </c>
      <c r="BK96" s="17">
        <v>1</v>
      </c>
      <c r="BL96" s="17">
        <v>0</v>
      </c>
      <c r="BM96" s="17" t="s">
        <v>834</v>
      </c>
      <c r="BN96" s="320">
        <f t="shared" si="66"/>
        <v>0</v>
      </c>
      <c r="BO96" s="320">
        <f t="shared" si="117"/>
        <v>0</v>
      </c>
      <c r="BP96" s="427">
        <v>0</v>
      </c>
      <c r="BQ96" s="427" t="s">
        <v>1188</v>
      </c>
      <c r="BR96" s="320">
        <f t="shared" si="113"/>
        <v>0</v>
      </c>
      <c r="BS96" s="320">
        <f t="shared" si="113"/>
        <v>0</v>
      </c>
      <c r="BT96" s="427">
        <v>0</v>
      </c>
      <c r="BU96" s="320">
        <f t="shared" si="92"/>
        <v>0</v>
      </c>
      <c r="BV96" s="320">
        <f t="shared" si="93"/>
        <v>0</v>
      </c>
      <c r="BW96" s="320">
        <f t="shared" si="114"/>
        <v>0</v>
      </c>
      <c r="BX96" s="427">
        <v>1</v>
      </c>
      <c r="BY96" s="320">
        <f t="shared" si="94"/>
        <v>1</v>
      </c>
      <c r="BZ96" s="320">
        <f t="shared" si="95"/>
        <v>0</v>
      </c>
      <c r="CA96" s="320">
        <v>0</v>
      </c>
      <c r="CB96" s="320">
        <f t="shared" si="97"/>
        <v>0</v>
      </c>
      <c r="CC96" s="427">
        <v>1</v>
      </c>
      <c r="CD96" s="320">
        <f t="shared" si="98"/>
        <v>1</v>
      </c>
      <c r="CE96" s="320">
        <f t="shared" si="99"/>
        <v>0</v>
      </c>
      <c r="CF96" s="320">
        <f t="shared" si="100"/>
        <v>0</v>
      </c>
      <c r="CG96" s="320">
        <f t="shared" si="101"/>
        <v>0</v>
      </c>
      <c r="CH96" s="427">
        <v>0</v>
      </c>
      <c r="CI96" s="427">
        <v>0</v>
      </c>
      <c r="CJ96" s="427">
        <v>0</v>
      </c>
      <c r="CK96" s="427">
        <v>0</v>
      </c>
      <c r="CL96" s="320">
        <f t="shared" si="116"/>
        <v>0</v>
      </c>
      <c r="CM96" s="320">
        <f t="shared" si="102"/>
        <v>0</v>
      </c>
      <c r="CN96" s="320">
        <f t="shared" si="103"/>
        <v>0</v>
      </c>
      <c r="CO96" s="320">
        <f t="shared" si="104"/>
        <v>0</v>
      </c>
      <c r="CP96" s="427">
        <v>1</v>
      </c>
      <c r="CQ96" s="427">
        <v>1</v>
      </c>
      <c r="CR96" s="320">
        <f t="shared" si="105"/>
        <v>1</v>
      </c>
      <c r="CS96" s="320">
        <f t="shared" si="115"/>
        <v>0</v>
      </c>
      <c r="CT96" s="320">
        <f t="shared" si="120"/>
        <v>0</v>
      </c>
      <c r="CU96" s="320">
        <f t="shared" si="121"/>
        <v>0</v>
      </c>
      <c r="CV96" s="427">
        <v>1</v>
      </c>
      <c r="CW96" s="17">
        <v>0</v>
      </c>
      <c r="CX96" s="320">
        <f t="shared" si="122"/>
        <v>0</v>
      </c>
      <c r="CY96" s="320">
        <f t="shared" si="107"/>
        <v>0</v>
      </c>
      <c r="CZ96" s="320">
        <f t="shared" si="108"/>
        <v>0</v>
      </c>
      <c r="DA96" s="17">
        <v>1</v>
      </c>
      <c r="DB96" s="17"/>
      <c r="DC96" s="17">
        <v>0</v>
      </c>
      <c r="DD96" s="31"/>
      <c r="DE96" s="352" t="s">
        <v>388</v>
      </c>
      <c r="DF96" s="377" t="s">
        <v>388</v>
      </c>
      <c r="DG96" s="352" t="s">
        <v>388</v>
      </c>
      <c r="DH96" s="352">
        <v>1</v>
      </c>
      <c r="DI96" s="354" t="s">
        <v>1125</v>
      </c>
      <c r="DJ96" s="354" t="s">
        <v>1125</v>
      </c>
      <c r="DK96" s="352" t="s">
        <v>388</v>
      </c>
      <c r="DL96" s="352" t="s">
        <v>1119</v>
      </c>
      <c r="DM96" s="352" t="s">
        <v>388</v>
      </c>
      <c r="DN96" s="352" t="s">
        <v>388</v>
      </c>
      <c r="DO96" s="352" t="s">
        <v>388</v>
      </c>
      <c r="DP96" s="351">
        <v>1</v>
      </c>
      <c r="DQ96" s="381"/>
      <c r="DR96" s="239">
        <f>SUM(DS96:DX96)/6</f>
        <v>0.18176328502415459</v>
      </c>
      <c r="DS96" s="429">
        <f t="shared" si="109"/>
        <v>0.17391304347826086</v>
      </c>
      <c r="DT96" s="429">
        <f>SUM(BA96:BE96,BG96)/5</f>
        <v>0</v>
      </c>
      <c r="DU96" s="429">
        <f>SUM(BI96,BO96,BS96,BU96:BW96)/6</f>
        <v>0.16666666666666666</v>
      </c>
      <c r="DV96" s="429">
        <f>SUM(BY96-CB96,CD96-CG96)/8</f>
        <v>0.25</v>
      </c>
      <c r="DW96" s="429">
        <f>SUM(CH96:CJ96,CL96:CO96,BN96,BR96)/9</f>
        <v>0</v>
      </c>
      <c r="DX96" s="429">
        <f>SUM(CP96,CR96:CV96)/6</f>
        <v>0.5</v>
      </c>
      <c r="DY96" s="461"/>
      <c r="DZ96" s="183"/>
      <c r="EA96" s="183"/>
      <c r="EB96" s="183"/>
      <c r="EC96" s="183"/>
      <c r="ED96" s="190"/>
      <c r="EH96" s="174"/>
      <c r="EI96" s="165"/>
      <c r="EJ96" s="165" t="b">
        <f t="shared" si="110"/>
        <v>0</v>
      </c>
      <c r="EK96" s="173"/>
      <c r="EL96" s="173"/>
      <c r="EM96" s="173"/>
      <c r="EN96" s="173"/>
      <c r="EO96" s="173"/>
      <c r="EP96" s="173"/>
      <c r="EQ96" s="175"/>
      <c r="ER96" s="471"/>
      <c r="ES96" s="472"/>
      <c r="ET96" s="472"/>
      <c r="EU96" s="472"/>
      <c r="EV96" s="473"/>
      <c r="EZ96" s="393" t="s">
        <v>117</v>
      </c>
      <c r="FA96" s="393" t="s">
        <v>117</v>
      </c>
      <c r="FB96" s="389">
        <v>97.5</v>
      </c>
      <c r="FC96" s="389">
        <v>97.5</v>
      </c>
      <c r="FD96" s="389">
        <v>97.5</v>
      </c>
      <c r="FE96" s="389">
        <v>97.5</v>
      </c>
      <c r="FF96" s="389">
        <v>97.5</v>
      </c>
      <c r="FG96" s="390">
        <v>0</v>
      </c>
      <c r="FH96" s="390">
        <v>0</v>
      </c>
      <c r="FI96" s="390">
        <v>0</v>
      </c>
      <c r="FJ96" s="391">
        <v>0</v>
      </c>
      <c r="FK96" s="391" t="s">
        <v>1386</v>
      </c>
      <c r="FL96" s="31" t="s">
        <v>1387</v>
      </c>
      <c r="FN96" s="216" t="s">
        <v>1570</v>
      </c>
      <c r="FO96" s="216" t="s">
        <v>1571</v>
      </c>
      <c r="FP96" s="215" t="s">
        <v>1346</v>
      </c>
      <c r="FR96" s="402">
        <v>1</v>
      </c>
      <c r="FS96" s="402">
        <v>1</v>
      </c>
      <c r="FT96" s="402">
        <v>1</v>
      </c>
      <c r="FU96" s="402">
        <v>1</v>
      </c>
    </row>
    <row r="97" spans="1:177" ht="22" hidden="1" customHeight="1" x14ac:dyDescent="0.2">
      <c r="A97" s="13" t="s">
        <v>4</v>
      </c>
      <c r="B97" s="23" t="s">
        <v>118</v>
      </c>
      <c r="C97" s="23"/>
      <c r="D97" s="23"/>
      <c r="E97" s="128" t="s">
        <v>119</v>
      </c>
      <c r="F97" s="15"/>
      <c r="G97" s="15" t="s">
        <v>634</v>
      </c>
      <c r="H97" s="91">
        <f t="shared" si="118"/>
        <v>1</v>
      </c>
      <c r="I97" s="95">
        <f t="shared" si="123"/>
        <v>0</v>
      </c>
      <c r="J97" s="91"/>
      <c r="K97" s="256">
        <f t="shared" si="70"/>
        <v>1</v>
      </c>
      <c r="L97" s="101">
        <v>0</v>
      </c>
      <c r="M97" s="99"/>
      <c r="N97" s="89"/>
      <c r="O97" s="98" t="str">
        <f t="shared" si="119"/>
        <v>_x000D__x000D_</v>
      </c>
      <c r="P97" s="144"/>
      <c r="Q97" s="55"/>
      <c r="R97" s="64" t="s">
        <v>918</v>
      </c>
      <c r="S97" s="425"/>
      <c r="T97" s="300" t="s">
        <v>834</v>
      </c>
      <c r="U97" s="300" t="s">
        <v>834</v>
      </c>
      <c r="V97" s="300" t="s">
        <v>834</v>
      </c>
      <c r="W97" s="258"/>
      <c r="X97" s="307" t="s">
        <v>834</v>
      </c>
      <c r="Y97" s="274"/>
      <c r="Z97" s="426"/>
      <c r="AA97" s="320">
        <f t="shared" si="64"/>
        <v>0</v>
      </c>
      <c r="AB97" s="320">
        <f t="shared" si="72"/>
        <v>0</v>
      </c>
      <c r="AC97" s="320">
        <f t="shared" si="73"/>
        <v>0</v>
      </c>
      <c r="AD97" s="320">
        <f t="shared" si="74"/>
        <v>0</v>
      </c>
      <c r="AE97" s="320">
        <f t="shared" si="111"/>
        <v>0</v>
      </c>
      <c r="AF97" s="320">
        <f t="shared" si="75"/>
        <v>0</v>
      </c>
      <c r="AG97" s="320">
        <f t="shared" si="63"/>
        <v>0</v>
      </c>
      <c r="AH97" s="427"/>
      <c r="AI97" s="320">
        <f t="shared" si="76"/>
        <v>0</v>
      </c>
      <c r="AJ97" s="320">
        <f t="shared" si="77"/>
        <v>0</v>
      </c>
      <c r="AK97" s="320">
        <f t="shared" si="78"/>
        <v>0</v>
      </c>
      <c r="AL97" s="320">
        <f t="shared" si="79"/>
        <v>0</v>
      </c>
      <c r="AM97" s="320">
        <f t="shared" si="80"/>
        <v>0</v>
      </c>
      <c r="AN97" s="320">
        <f t="shared" si="81"/>
        <v>0</v>
      </c>
      <c r="AO97" s="427"/>
      <c r="AP97" s="320">
        <f t="shared" si="112"/>
        <v>0</v>
      </c>
      <c r="AQ97" s="320">
        <f t="shared" si="82"/>
        <v>0</v>
      </c>
      <c r="AR97" s="320">
        <f t="shared" si="83"/>
        <v>0</v>
      </c>
      <c r="AS97" s="320">
        <f t="shared" si="84"/>
        <v>0</v>
      </c>
      <c r="AT97" s="320">
        <f t="shared" si="85"/>
        <v>0</v>
      </c>
      <c r="AU97" s="320">
        <f t="shared" si="86"/>
        <v>0</v>
      </c>
      <c r="AV97" s="427"/>
      <c r="AW97" s="320">
        <f t="shared" si="87"/>
        <v>0</v>
      </c>
      <c r="AX97" s="320">
        <f t="shared" si="88"/>
        <v>0</v>
      </c>
      <c r="AY97" s="320">
        <f t="shared" si="89"/>
        <v>0</v>
      </c>
      <c r="AZ97" s="320">
        <f t="shared" si="90"/>
        <v>0</v>
      </c>
      <c r="BA97" s="17"/>
      <c r="BB97" s="17" t="s">
        <v>834</v>
      </c>
      <c r="BC97" s="17"/>
      <c r="BD97" s="17"/>
      <c r="BE97" s="17"/>
      <c r="BF97" s="17"/>
      <c r="BG97" s="428">
        <f t="shared" si="65"/>
        <v>0</v>
      </c>
      <c r="BH97" s="17"/>
      <c r="BI97" s="17"/>
      <c r="BJ97" s="17"/>
      <c r="BK97" s="17"/>
      <c r="BL97" s="17"/>
      <c r="BM97" s="17"/>
      <c r="BN97" s="320">
        <f t="shared" si="66"/>
        <v>0</v>
      </c>
      <c r="BO97" s="320">
        <f t="shared" si="117"/>
        <v>0</v>
      </c>
      <c r="BP97" s="427"/>
      <c r="BQ97" s="427"/>
      <c r="BR97" s="320">
        <f t="shared" si="113"/>
        <v>0</v>
      </c>
      <c r="BS97" s="320">
        <f t="shared" si="113"/>
        <v>0</v>
      </c>
      <c r="BT97" s="427"/>
      <c r="BU97" s="320">
        <f t="shared" si="92"/>
        <v>0</v>
      </c>
      <c r="BV97" s="320">
        <f t="shared" si="93"/>
        <v>0</v>
      </c>
      <c r="BW97" s="320">
        <f t="shared" si="114"/>
        <v>0</v>
      </c>
      <c r="BX97" s="427"/>
      <c r="BY97" s="320">
        <f t="shared" si="94"/>
        <v>0</v>
      </c>
      <c r="BZ97" s="320">
        <f t="shared" si="95"/>
        <v>0</v>
      </c>
      <c r="CA97" s="320">
        <f t="shared" ref="CA97:CA103" si="124">IF(ISNUMBER(SEARCH("3",$BX97)),1,0)</f>
        <v>0</v>
      </c>
      <c r="CB97" s="320">
        <f t="shared" si="97"/>
        <v>0</v>
      </c>
      <c r="CC97" s="427"/>
      <c r="CD97" s="320">
        <f t="shared" si="98"/>
        <v>0</v>
      </c>
      <c r="CE97" s="320">
        <f t="shared" si="99"/>
        <v>0</v>
      </c>
      <c r="CF97" s="320">
        <f t="shared" si="100"/>
        <v>0</v>
      </c>
      <c r="CG97" s="320">
        <f t="shared" si="101"/>
        <v>0</v>
      </c>
      <c r="CH97" s="427"/>
      <c r="CI97" s="427"/>
      <c r="CJ97" s="427"/>
      <c r="CK97" s="427"/>
      <c r="CL97" s="320">
        <f t="shared" si="116"/>
        <v>0</v>
      </c>
      <c r="CM97" s="320">
        <f t="shared" si="102"/>
        <v>0</v>
      </c>
      <c r="CN97" s="320">
        <f t="shared" si="103"/>
        <v>0</v>
      </c>
      <c r="CO97" s="320">
        <f t="shared" si="104"/>
        <v>0</v>
      </c>
      <c r="CP97" s="427"/>
      <c r="CQ97" s="427"/>
      <c r="CR97" s="320">
        <f t="shared" si="105"/>
        <v>0</v>
      </c>
      <c r="CS97" s="320">
        <f t="shared" si="115"/>
        <v>0</v>
      </c>
      <c r="CT97" s="320">
        <f t="shared" si="120"/>
        <v>0</v>
      </c>
      <c r="CU97" s="320">
        <f t="shared" si="121"/>
        <v>0</v>
      </c>
      <c r="CV97" s="427"/>
      <c r="CW97" s="17"/>
      <c r="CX97" s="320">
        <f t="shared" si="122"/>
        <v>0</v>
      </c>
      <c r="CY97" s="320">
        <f t="shared" si="107"/>
        <v>0</v>
      </c>
      <c r="CZ97" s="320">
        <f t="shared" si="108"/>
        <v>0</v>
      </c>
      <c r="DA97" s="17"/>
      <c r="DB97" s="17"/>
      <c r="DC97" s="17"/>
      <c r="DD97" s="31"/>
      <c r="DE97" s="323"/>
      <c r="DF97" s="323"/>
      <c r="DG97" s="323"/>
      <c r="DH97" s="323"/>
      <c r="DI97" s="323"/>
      <c r="DJ97" s="323"/>
      <c r="DK97" s="323"/>
      <c r="DL97" s="323"/>
      <c r="DM97" s="323"/>
      <c r="DN97" s="323"/>
      <c r="DO97" s="323"/>
      <c r="DP97" s="324"/>
      <c r="DQ97" s="288"/>
      <c r="DR97" s="242"/>
      <c r="DS97" s="429">
        <f t="shared" si="109"/>
        <v>0</v>
      </c>
      <c r="DT97" s="429"/>
      <c r="DU97" s="429"/>
      <c r="DV97" s="429"/>
      <c r="DW97" s="429"/>
      <c r="DX97" s="429"/>
      <c r="DY97" s="429"/>
      <c r="DZ97" s="134"/>
      <c r="EA97" s="134"/>
      <c r="EB97" s="134"/>
      <c r="EC97" s="134"/>
      <c r="ED97" s="123"/>
      <c r="EH97" s="46"/>
      <c r="EI97" s="45"/>
      <c r="EJ97" s="33" t="b">
        <f t="shared" si="110"/>
        <v>0</v>
      </c>
      <c r="EK97" s="42"/>
      <c r="EL97" s="42"/>
      <c r="EM97" s="42"/>
      <c r="EN97" s="439"/>
      <c r="EO97" s="439"/>
      <c r="EP97" s="439"/>
      <c r="EQ97" s="47"/>
      <c r="ER97" s="440"/>
      <c r="ES97" s="431"/>
      <c r="ET97" s="431"/>
      <c r="EU97" s="431"/>
      <c r="EV97" s="447"/>
      <c r="EZ97" s="393" t="s">
        <v>119</v>
      </c>
      <c r="FA97" s="393" t="s">
        <v>119</v>
      </c>
      <c r="FB97" s="389">
        <v>3422</v>
      </c>
      <c r="FC97" s="389">
        <v>3365</v>
      </c>
      <c r="FD97" s="389">
        <v>3337</v>
      </c>
      <c r="FE97" s="389">
        <v>3309</v>
      </c>
      <c r="FF97" s="389">
        <v>3309</v>
      </c>
      <c r="FG97" s="390">
        <v>-1.6641901931649331E-3</v>
      </c>
      <c r="FH97" s="390">
        <v>-1.678154030566377E-3</v>
      </c>
      <c r="FI97" s="390">
        <v>0</v>
      </c>
      <c r="FJ97" s="391">
        <v>-1</v>
      </c>
      <c r="FK97" s="391" t="s">
        <v>1386</v>
      </c>
      <c r="FL97" s="31" t="s">
        <v>1392</v>
      </c>
      <c r="FN97" s="128" t="s">
        <v>1572</v>
      </c>
      <c r="FO97" s="128" t="s">
        <v>1573</v>
      </c>
      <c r="FP97" s="128"/>
    </row>
    <row r="98" spans="1:177" ht="22" hidden="1" customHeight="1" x14ac:dyDescent="0.2">
      <c r="A98" s="13" t="s">
        <v>10</v>
      </c>
      <c r="B98" s="14" t="s">
        <v>51</v>
      </c>
      <c r="C98" s="14"/>
      <c r="D98" s="14"/>
      <c r="E98" s="129" t="s">
        <v>120</v>
      </c>
      <c r="F98" s="15"/>
      <c r="G98" s="15" t="s">
        <v>634</v>
      </c>
      <c r="H98" s="95">
        <f t="shared" si="118"/>
        <v>1</v>
      </c>
      <c r="I98" s="95">
        <f t="shared" si="123"/>
        <v>2</v>
      </c>
      <c r="J98" s="95"/>
      <c r="K98" s="256">
        <f t="shared" si="70"/>
        <v>3</v>
      </c>
      <c r="L98" s="278" t="s">
        <v>683</v>
      </c>
      <c r="M98" s="25">
        <v>1</v>
      </c>
      <c r="N98" s="26">
        <v>5100000</v>
      </c>
      <c r="O98" s="144" t="str">
        <f t="shared" si="119"/>
        <v>_x000D__x000D_</v>
      </c>
      <c r="P98" s="144"/>
      <c r="Q98" s="55"/>
      <c r="R98" s="64" t="s">
        <v>918</v>
      </c>
      <c r="S98" s="425"/>
      <c r="T98" s="300" t="s">
        <v>857</v>
      </c>
      <c r="U98" s="301" t="s">
        <v>899</v>
      </c>
      <c r="V98" s="301" t="s">
        <v>834</v>
      </c>
      <c r="W98" s="258"/>
      <c r="X98" s="307" t="s">
        <v>834</v>
      </c>
      <c r="Y98" s="274"/>
      <c r="Z98" s="426"/>
      <c r="AA98" s="320">
        <f t="shared" si="64"/>
        <v>0</v>
      </c>
      <c r="AB98" s="320">
        <f t="shared" si="72"/>
        <v>0</v>
      </c>
      <c r="AC98" s="320">
        <f t="shared" si="73"/>
        <v>0</v>
      </c>
      <c r="AD98" s="320">
        <f t="shared" si="74"/>
        <v>0</v>
      </c>
      <c r="AE98" s="320">
        <f t="shared" si="111"/>
        <v>0</v>
      </c>
      <c r="AF98" s="320">
        <f t="shared" si="75"/>
        <v>0</v>
      </c>
      <c r="AG98" s="320">
        <f t="shared" si="63"/>
        <v>0</v>
      </c>
      <c r="AH98" s="427"/>
      <c r="AI98" s="320">
        <f t="shared" si="76"/>
        <v>0</v>
      </c>
      <c r="AJ98" s="320">
        <f t="shared" si="77"/>
        <v>0</v>
      </c>
      <c r="AK98" s="320">
        <f t="shared" si="78"/>
        <v>0</v>
      </c>
      <c r="AL98" s="320">
        <f t="shared" si="79"/>
        <v>0</v>
      </c>
      <c r="AM98" s="320">
        <f t="shared" si="80"/>
        <v>0</v>
      </c>
      <c r="AN98" s="320">
        <f t="shared" si="81"/>
        <v>0</v>
      </c>
      <c r="AO98" s="427"/>
      <c r="AP98" s="320">
        <f t="shared" si="112"/>
        <v>0</v>
      </c>
      <c r="AQ98" s="320">
        <f t="shared" si="82"/>
        <v>0</v>
      </c>
      <c r="AR98" s="320">
        <f t="shared" si="83"/>
        <v>0</v>
      </c>
      <c r="AS98" s="320">
        <f t="shared" si="84"/>
        <v>0</v>
      </c>
      <c r="AT98" s="320">
        <f t="shared" si="85"/>
        <v>0</v>
      </c>
      <c r="AU98" s="320">
        <f t="shared" si="86"/>
        <v>0</v>
      </c>
      <c r="AV98" s="427"/>
      <c r="AW98" s="320">
        <f t="shared" si="87"/>
        <v>0</v>
      </c>
      <c r="AX98" s="320">
        <f t="shared" si="88"/>
        <v>0</v>
      </c>
      <c r="AY98" s="320">
        <f t="shared" si="89"/>
        <v>0</v>
      </c>
      <c r="AZ98" s="320">
        <f t="shared" si="90"/>
        <v>0</v>
      </c>
      <c r="BA98" s="17"/>
      <c r="BB98" s="17" t="s">
        <v>857</v>
      </c>
      <c r="BC98" s="17"/>
      <c r="BD98" s="17"/>
      <c r="BE98" s="17"/>
      <c r="BF98" s="17"/>
      <c r="BG98" s="428">
        <f t="shared" si="65"/>
        <v>0</v>
      </c>
      <c r="BH98" s="17"/>
      <c r="BI98" s="17" t="s">
        <v>649</v>
      </c>
      <c r="BJ98" s="17"/>
      <c r="BK98" s="17"/>
      <c r="BL98" s="17"/>
      <c r="BM98" s="17"/>
      <c r="BN98" s="320">
        <f t="shared" si="66"/>
        <v>0</v>
      </c>
      <c r="BO98" s="320">
        <f t="shared" si="117"/>
        <v>0</v>
      </c>
      <c r="BP98" s="427"/>
      <c r="BQ98" s="427"/>
      <c r="BR98" s="320">
        <f t="shared" si="113"/>
        <v>0</v>
      </c>
      <c r="BS98" s="320">
        <f t="shared" si="113"/>
        <v>0</v>
      </c>
      <c r="BT98" s="427"/>
      <c r="BU98" s="320">
        <f t="shared" si="92"/>
        <v>0</v>
      </c>
      <c r="BV98" s="320">
        <f t="shared" si="93"/>
        <v>0</v>
      </c>
      <c r="BW98" s="320">
        <f t="shared" si="114"/>
        <v>0</v>
      </c>
      <c r="BX98" s="427"/>
      <c r="BY98" s="320">
        <f t="shared" si="94"/>
        <v>0</v>
      </c>
      <c r="BZ98" s="320">
        <f t="shared" si="95"/>
        <v>0</v>
      </c>
      <c r="CA98" s="320">
        <f t="shared" si="124"/>
        <v>0</v>
      </c>
      <c r="CB98" s="320">
        <f t="shared" si="97"/>
        <v>0</v>
      </c>
      <c r="CC98" s="427"/>
      <c r="CD98" s="320">
        <f t="shared" si="98"/>
        <v>0</v>
      </c>
      <c r="CE98" s="320">
        <f t="shared" si="99"/>
        <v>0</v>
      </c>
      <c r="CF98" s="320">
        <f t="shared" si="100"/>
        <v>0</v>
      </c>
      <c r="CG98" s="320">
        <f t="shared" si="101"/>
        <v>0</v>
      </c>
      <c r="CH98" s="427"/>
      <c r="CI98" s="427"/>
      <c r="CJ98" s="427"/>
      <c r="CK98" s="427"/>
      <c r="CL98" s="320">
        <f t="shared" si="116"/>
        <v>0</v>
      </c>
      <c r="CM98" s="320">
        <f t="shared" si="102"/>
        <v>0</v>
      </c>
      <c r="CN98" s="320">
        <f t="shared" si="103"/>
        <v>0</v>
      </c>
      <c r="CO98" s="320">
        <f t="shared" si="104"/>
        <v>0</v>
      </c>
      <c r="CP98" s="427"/>
      <c r="CQ98" s="427"/>
      <c r="CR98" s="320">
        <f t="shared" si="105"/>
        <v>0</v>
      </c>
      <c r="CS98" s="320">
        <f t="shared" si="115"/>
        <v>0</v>
      </c>
      <c r="CT98" s="320">
        <f t="shared" si="120"/>
        <v>0</v>
      </c>
      <c r="CU98" s="320">
        <f t="shared" si="121"/>
        <v>0</v>
      </c>
      <c r="CV98" s="427"/>
      <c r="CW98" s="17"/>
      <c r="CX98" s="320">
        <f t="shared" si="122"/>
        <v>0</v>
      </c>
      <c r="CY98" s="320">
        <f t="shared" si="107"/>
        <v>0</v>
      </c>
      <c r="CZ98" s="320">
        <f t="shared" si="108"/>
        <v>0</v>
      </c>
      <c r="DA98" s="17"/>
      <c r="DB98" s="17"/>
      <c r="DC98" s="17"/>
      <c r="DD98" s="31"/>
      <c r="DE98" s="321"/>
      <c r="DF98" s="321"/>
      <c r="DG98" s="321"/>
      <c r="DH98" s="321"/>
      <c r="DI98" s="321"/>
      <c r="DJ98" s="321"/>
      <c r="DK98" s="321"/>
      <c r="DL98" s="321"/>
      <c r="DM98" s="321"/>
      <c r="DN98" s="321"/>
      <c r="DO98" s="321"/>
      <c r="DP98" s="322"/>
      <c r="DQ98" s="288"/>
      <c r="DR98" s="243"/>
      <c r="DS98" s="429">
        <f t="shared" si="109"/>
        <v>0</v>
      </c>
      <c r="DT98" s="429">
        <f>SUM(BA98:BF98)/5</f>
        <v>0</v>
      </c>
      <c r="DU98" s="429"/>
      <c r="DV98" s="429"/>
      <c r="DW98" s="429"/>
      <c r="DX98" s="429"/>
      <c r="DY98" s="444"/>
      <c r="DZ98" s="134"/>
      <c r="EA98" s="134"/>
      <c r="EB98" s="134"/>
      <c r="EC98" s="134"/>
      <c r="ED98" s="123"/>
      <c r="EH98" s="49" t="s">
        <v>76</v>
      </c>
      <c r="EI98" s="50"/>
      <c r="EJ98" s="33" t="e">
        <f t="shared" si="110"/>
        <v>#VALUE!</v>
      </c>
      <c r="EK98" s="42"/>
      <c r="EL98" s="42"/>
      <c r="EM98" s="42"/>
      <c r="EN98" s="439"/>
      <c r="EO98" s="439"/>
      <c r="EP98" s="439"/>
      <c r="EQ98" s="47"/>
      <c r="ER98" s="440"/>
      <c r="ES98" s="431"/>
      <c r="ET98" s="431"/>
      <c r="EU98" s="431"/>
      <c r="EV98" s="447"/>
      <c r="EZ98" s="393" t="s">
        <v>120</v>
      </c>
      <c r="FA98" s="393" t="s">
        <v>120</v>
      </c>
      <c r="FB98" s="389">
        <v>4724</v>
      </c>
      <c r="FC98" s="389">
        <v>3557</v>
      </c>
      <c r="FD98" s="389">
        <v>4047</v>
      </c>
      <c r="FE98" s="389">
        <v>4230</v>
      </c>
      <c r="FF98" s="389">
        <v>4413</v>
      </c>
      <c r="FG98" s="390">
        <v>2.7551307281416925E-2</v>
      </c>
      <c r="FH98" s="390">
        <v>9.0437361008154186E-3</v>
      </c>
      <c r="FI98" s="390">
        <v>8.6524822695035458E-3</v>
      </c>
      <c r="FJ98" s="391" t="s">
        <v>1389</v>
      </c>
      <c r="FK98" s="391">
        <v>-4.3262411347517751E-2</v>
      </c>
      <c r="FL98" s="31" t="s">
        <v>1394</v>
      </c>
      <c r="FN98" s="129" t="s">
        <v>1574</v>
      </c>
      <c r="FO98" s="129" t="s">
        <v>1575</v>
      </c>
      <c r="FP98" s="129"/>
    </row>
    <row r="99" spans="1:177" ht="22" hidden="1" customHeight="1" x14ac:dyDescent="0.2">
      <c r="A99" s="13" t="s">
        <v>24</v>
      </c>
      <c r="B99" s="14" t="s">
        <v>121</v>
      </c>
      <c r="C99" s="14"/>
      <c r="D99" s="14"/>
      <c r="E99" s="128" t="s">
        <v>122</v>
      </c>
      <c r="F99" s="15"/>
      <c r="G99" s="15" t="s">
        <v>634</v>
      </c>
      <c r="H99" s="95">
        <f t="shared" si="118"/>
        <v>1</v>
      </c>
      <c r="I99" s="95">
        <f t="shared" si="123"/>
        <v>0</v>
      </c>
      <c r="J99" s="95"/>
      <c r="K99" s="256">
        <f t="shared" si="70"/>
        <v>1</v>
      </c>
      <c r="L99" s="278">
        <v>0</v>
      </c>
      <c r="M99" s="25"/>
      <c r="N99" s="89"/>
      <c r="O99" s="144" t="str">
        <f t="shared" si="119"/>
        <v>_x000D__x000D_</v>
      </c>
      <c r="P99" s="144"/>
      <c r="Q99" s="55"/>
      <c r="R99" s="64" t="s">
        <v>918</v>
      </c>
      <c r="S99" s="425"/>
      <c r="T99" s="300" t="s">
        <v>834</v>
      </c>
      <c r="U99" s="301" t="s">
        <v>834</v>
      </c>
      <c r="V99" s="301" t="s">
        <v>834</v>
      </c>
      <c r="W99" s="258"/>
      <c r="X99" s="307" t="s">
        <v>834</v>
      </c>
      <c r="Y99" s="274"/>
      <c r="Z99" s="426"/>
      <c r="AA99" s="320">
        <f t="shared" si="64"/>
        <v>0</v>
      </c>
      <c r="AB99" s="320">
        <f t="shared" si="72"/>
        <v>0</v>
      </c>
      <c r="AC99" s="320">
        <f t="shared" si="73"/>
        <v>0</v>
      </c>
      <c r="AD99" s="320">
        <f t="shared" si="74"/>
        <v>0</v>
      </c>
      <c r="AE99" s="320">
        <f t="shared" si="111"/>
        <v>0</v>
      </c>
      <c r="AF99" s="320">
        <f t="shared" si="75"/>
        <v>0</v>
      </c>
      <c r="AG99" s="320">
        <f t="shared" si="63"/>
        <v>0</v>
      </c>
      <c r="AH99" s="427"/>
      <c r="AI99" s="320">
        <f t="shared" si="76"/>
        <v>0</v>
      </c>
      <c r="AJ99" s="320">
        <f t="shared" si="77"/>
        <v>0</v>
      </c>
      <c r="AK99" s="320">
        <f t="shared" si="78"/>
        <v>0</v>
      </c>
      <c r="AL99" s="320">
        <f t="shared" si="79"/>
        <v>0</v>
      </c>
      <c r="AM99" s="320">
        <f t="shared" si="80"/>
        <v>0</v>
      </c>
      <c r="AN99" s="320">
        <f t="shared" si="81"/>
        <v>0</v>
      </c>
      <c r="AO99" s="427"/>
      <c r="AP99" s="320">
        <f t="shared" si="112"/>
        <v>0</v>
      </c>
      <c r="AQ99" s="320">
        <f t="shared" si="82"/>
        <v>0</v>
      </c>
      <c r="AR99" s="320">
        <f t="shared" si="83"/>
        <v>0</v>
      </c>
      <c r="AS99" s="320">
        <f t="shared" si="84"/>
        <v>0</v>
      </c>
      <c r="AT99" s="320">
        <f t="shared" si="85"/>
        <v>0</v>
      </c>
      <c r="AU99" s="320">
        <f t="shared" si="86"/>
        <v>0</v>
      </c>
      <c r="AV99" s="427"/>
      <c r="AW99" s="320">
        <f t="shared" si="87"/>
        <v>0</v>
      </c>
      <c r="AX99" s="320">
        <f t="shared" si="88"/>
        <v>0</v>
      </c>
      <c r="AY99" s="320">
        <f t="shared" si="89"/>
        <v>0</v>
      </c>
      <c r="AZ99" s="320">
        <f t="shared" si="90"/>
        <v>0</v>
      </c>
      <c r="BA99" s="17"/>
      <c r="BB99" s="17" t="s">
        <v>834</v>
      </c>
      <c r="BC99" s="17"/>
      <c r="BD99" s="17"/>
      <c r="BE99" s="17"/>
      <c r="BF99" s="17"/>
      <c r="BG99" s="428">
        <f t="shared" si="65"/>
        <v>0</v>
      </c>
      <c r="BH99" s="17"/>
      <c r="BI99" s="17"/>
      <c r="BJ99" s="17"/>
      <c r="BK99" s="17"/>
      <c r="BL99" s="17"/>
      <c r="BM99" s="17"/>
      <c r="BN99" s="320">
        <f t="shared" si="66"/>
        <v>0</v>
      </c>
      <c r="BO99" s="320">
        <f t="shared" si="117"/>
        <v>0</v>
      </c>
      <c r="BP99" s="427"/>
      <c r="BQ99" s="427"/>
      <c r="BR99" s="320">
        <f t="shared" si="113"/>
        <v>0</v>
      </c>
      <c r="BS99" s="320">
        <f t="shared" si="113"/>
        <v>0</v>
      </c>
      <c r="BT99" s="427"/>
      <c r="BU99" s="320">
        <f t="shared" si="92"/>
        <v>0</v>
      </c>
      <c r="BV99" s="320">
        <f t="shared" si="93"/>
        <v>0</v>
      </c>
      <c r="BW99" s="320">
        <f t="shared" si="114"/>
        <v>0</v>
      </c>
      <c r="BX99" s="427"/>
      <c r="BY99" s="320">
        <f t="shared" si="94"/>
        <v>0</v>
      </c>
      <c r="BZ99" s="320">
        <f t="shared" si="95"/>
        <v>0</v>
      </c>
      <c r="CA99" s="320">
        <f t="shared" si="124"/>
        <v>0</v>
      </c>
      <c r="CB99" s="320">
        <f t="shared" si="97"/>
        <v>0</v>
      </c>
      <c r="CC99" s="427"/>
      <c r="CD99" s="320">
        <f t="shared" si="98"/>
        <v>0</v>
      </c>
      <c r="CE99" s="320">
        <f t="shared" si="99"/>
        <v>0</v>
      </c>
      <c r="CF99" s="320">
        <f t="shared" si="100"/>
        <v>0</v>
      </c>
      <c r="CG99" s="320">
        <f t="shared" si="101"/>
        <v>0</v>
      </c>
      <c r="CH99" s="427"/>
      <c r="CI99" s="427"/>
      <c r="CJ99" s="427"/>
      <c r="CK99" s="427"/>
      <c r="CL99" s="320">
        <f t="shared" si="116"/>
        <v>0</v>
      </c>
      <c r="CM99" s="320">
        <f t="shared" si="102"/>
        <v>0</v>
      </c>
      <c r="CN99" s="320">
        <f t="shared" si="103"/>
        <v>0</v>
      </c>
      <c r="CO99" s="320">
        <f t="shared" si="104"/>
        <v>0</v>
      </c>
      <c r="CP99" s="427"/>
      <c r="CQ99" s="427"/>
      <c r="CR99" s="320">
        <f t="shared" si="105"/>
        <v>0</v>
      </c>
      <c r="CS99" s="320">
        <f t="shared" si="115"/>
        <v>0</v>
      </c>
      <c r="CT99" s="320">
        <f t="shared" si="120"/>
        <v>0</v>
      </c>
      <c r="CU99" s="320">
        <f t="shared" si="121"/>
        <v>0</v>
      </c>
      <c r="CV99" s="427"/>
      <c r="CW99" s="17"/>
      <c r="CX99" s="320">
        <f t="shared" si="122"/>
        <v>0</v>
      </c>
      <c r="CY99" s="320">
        <f t="shared" si="107"/>
        <v>0</v>
      </c>
      <c r="CZ99" s="320">
        <f t="shared" si="108"/>
        <v>0</v>
      </c>
      <c r="DA99" s="17"/>
      <c r="DB99" s="17"/>
      <c r="DC99" s="17"/>
      <c r="DD99" s="31"/>
      <c r="DE99" s="323"/>
      <c r="DF99" s="323"/>
      <c r="DG99" s="323"/>
      <c r="DH99" s="323"/>
      <c r="DI99" s="323"/>
      <c r="DJ99" s="323"/>
      <c r="DK99" s="323"/>
      <c r="DL99" s="323"/>
      <c r="DM99" s="323"/>
      <c r="DN99" s="323"/>
      <c r="DO99" s="323"/>
      <c r="DP99" s="324"/>
      <c r="DQ99" s="288"/>
      <c r="DR99" s="242"/>
      <c r="DS99" s="429">
        <f t="shared" si="109"/>
        <v>0</v>
      </c>
      <c r="DT99" s="429"/>
      <c r="DU99" s="429"/>
      <c r="DV99" s="429"/>
      <c r="DW99" s="429"/>
      <c r="DX99" s="429"/>
      <c r="DY99" s="429"/>
      <c r="DZ99" s="134"/>
      <c r="EA99" s="134"/>
      <c r="EB99" s="134"/>
      <c r="EC99" s="134"/>
      <c r="ED99" s="123"/>
      <c r="EH99" s="44"/>
      <c r="EI99" s="45"/>
      <c r="EJ99" s="33" t="b">
        <f t="shared" si="110"/>
        <v>0</v>
      </c>
      <c r="EK99" s="42"/>
      <c r="EL99" s="42"/>
      <c r="EM99" s="42"/>
      <c r="EN99" s="439"/>
      <c r="EO99" s="439"/>
      <c r="EP99" s="439"/>
      <c r="EQ99" s="38"/>
      <c r="ER99" s="440">
        <v>1</v>
      </c>
      <c r="ES99" s="431"/>
      <c r="ET99" s="431"/>
      <c r="EU99" s="431"/>
      <c r="EV99" s="447"/>
      <c r="EZ99" s="393" t="s">
        <v>122</v>
      </c>
      <c r="FA99" s="393" t="s">
        <v>122</v>
      </c>
      <c r="FB99" s="389">
        <v>12.15</v>
      </c>
      <c r="FC99" s="389">
        <v>12.15</v>
      </c>
      <c r="FD99" s="389">
        <v>12.15</v>
      </c>
      <c r="FE99" s="389">
        <v>12.15</v>
      </c>
      <c r="FF99" s="389">
        <v>12.15</v>
      </c>
      <c r="FG99" s="390">
        <v>0</v>
      </c>
      <c r="FH99" s="390">
        <v>0</v>
      </c>
      <c r="FI99" s="390">
        <v>0</v>
      </c>
      <c r="FJ99" s="391">
        <v>0</v>
      </c>
      <c r="FK99" s="391" t="s">
        <v>1386</v>
      </c>
      <c r="FL99" s="31" t="s">
        <v>1387</v>
      </c>
      <c r="FN99" s="128" t="s">
        <v>1576</v>
      </c>
      <c r="FO99" s="128" t="s">
        <v>1577</v>
      </c>
      <c r="FP99" s="128"/>
    </row>
    <row r="100" spans="1:177" ht="22" hidden="1" customHeight="1" x14ac:dyDescent="0.2">
      <c r="A100" s="13" t="s">
        <v>4</v>
      </c>
      <c r="B100" s="14" t="s">
        <v>21</v>
      </c>
      <c r="C100" s="14"/>
      <c r="D100" s="14"/>
      <c r="E100" s="128" t="s">
        <v>123</v>
      </c>
      <c r="F100" s="15"/>
      <c r="G100" s="15" t="s">
        <v>634</v>
      </c>
      <c r="H100" s="95">
        <f t="shared" si="118"/>
        <v>1</v>
      </c>
      <c r="I100" s="95">
        <f t="shared" si="123"/>
        <v>0</v>
      </c>
      <c r="J100" s="95"/>
      <c r="K100" s="256">
        <f t="shared" si="70"/>
        <v>1</v>
      </c>
      <c r="L100" s="278">
        <v>0</v>
      </c>
      <c r="M100" s="25"/>
      <c r="N100" s="89"/>
      <c r="O100" s="144" t="str">
        <f t="shared" si="119"/>
        <v>_x000D__x000D_</v>
      </c>
      <c r="P100" s="144"/>
      <c r="Q100" s="55"/>
      <c r="R100" s="64" t="s">
        <v>918</v>
      </c>
      <c r="S100" s="425"/>
      <c r="T100" s="300" t="s">
        <v>834</v>
      </c>
      <c r="U100" s="301" t="s">
        <v>834</v>
      </c>
      <c r="V100" s="301" t="s">
        <v>834</v>
      </c>
      <c r="W100" s="258"/>
      <c r="X100" s="307" t="s">
        <v>834</v>
      </c>
      <c r="Y100" s="274"/>
      <c r="Z100" s="426"/>
      <c r="AA100" s="320">
        <f t="shared" si="64"/>
        <v>0</v>
      </c>
      <c r="AB100" s="320">
        <f t="shared" si="72"/>
        <v>0</v>
      </c>
      <c r="AC100" s="320">
        <f t="shared" si="73"/>
        <v>0</v>
      </c>
      <c r="AD100" s="320">
        <f t="shared" si="74"/>
        <v>0</v>
      </c>
      <c r="AE100" s="320">
        <f t="shared" si="111"/>
        <v>0</v>
      </c>
      <c r="AF100" s="320">
        <f t="shared" si="75"/>
        <v>0</v>
      </c>
      <c r="AG100" s="320">
        <f t="shared" si="63"/>
        <v>0</v>
      </c>
      <c r="AH100" s="427"/>
      <c r="AI100" s="320">
        <f t="shared" si="76"/>
        <v>0</v>
      </c>
      <c r="AJ100" s="320">
        <f t="shared" si="77"/>
        <v>0</v>
      </c>
      <c r="AK100" s="320">
        <f t="shared" si="78"/>
        <v>0</v>
      </c>
      <c r="AL100" s="320">
        <f t="shared" si="79"/>
        <v>0</v>
      </c>
      <c r="AM100" s="320">
        <f t="shared" si="80"/>
        <v>0</v>
      </c>
      <c r="AN100" s="320">
        <f t="shared" si="81"/>
        <v>0</v>
      </c>
      <c r="AO100" s="427"/>
      <c r="AP100" s="320">
        <f t="shared" si="112"/>
        <v>0</v>
      </c>
      <c r="AQ100" s="320">
        <f t="shared" si="82"/>
        <v>0</v>
      </c>
      <c r="AR100" s="320">
        <f t="shared" si="83"/>
        <v>0</v>
      </c>
      <c r="AS100" s="320">
        <f t="shared" si="84"/>
        <v>0</v>
      </c>
      <c r="AT100" s="320">
        <f t="shared" si="85"/>
        <v>0</v>
      </c>
      <c r="AU100" s="320">
        <f t="shared" si="86"/>
        <v>0</v>
      </c>
      <c r="AV100" s="427"/>
      <c r="AW100" s="320">
        <f t="shared" si="87"/>
        <v>0</v>
      </c>
      <c r="AX100" s="320">
        <f t="shared" si="88"/>
        <v>0</v>
      </c>
      <c r="AY100" s="320">
        <f t="shared" si="89"/>
        <v>0</v>
      </c>
      <c r="AZ100" s="320">
        <f t="shared" si="90"/>
        <v>0</v>
      </c>
      <c r="BA100" s="17"/>
      <c r="BB100" s="17" t="s">
        <v>834</v>
      </c>
      <c r="BC100" s="17"/>
      <c r="BD100" s="17"/>
      <c r="BE100" s="17"/>
      <c r="BF100" s="17"/>
      <c r="BG100" s="428">
        <f t="shared" si="65"/>
        <v>0</v>
      </c>
      <c r="BH100" s="17"/>
      <c r="BI100" s="17"/>
      <c r="BJ100" s="17"/>
      <c r="BK100" s="17"/>
      <c r="BL100" s="17"/>
      <c r="BM100" s="17"/>
      <c r="BN100" s="320">
        <f t="shared" si="66"/>
        <v>0</v>
      </c>
      <c r="BO100" s="320">
        <f t="shared" si="117"/>
        <v>0</v>
      </c>
      <c r="BP100" s="427"/>
      <c r="BQ100" s="427"/>
      <c r="BR100" s="320">
        <f t="shared" si="113"/>
        <v>0</v>
      </c>
      <c r="BS100" s="320">
        <f t="shared" si="113"/>
        <v>0</v>
      </c>
      <c r="BT100" s="427"/>
      <c r="BU100" s="320">
        <f t="shared" si="92"/>
        <v>0</v>
      </c>
      <c r="BV100" s="320">
        <f t="shared" si="93"/>
        <v>0</v>
      </c>
      <c r="BW100" s="320">
        <f t="shared" si="114"/>
        <v>0</v>
      </c>
      <c r="BX100" s="427"/>
      <c r="BY100" s="320">
        <f t="shared" si="94"/>
        <v>0</v>
      </c>
      <c r="BZ100" s="320">
        <f t="shared" si="95"/>
        <v>0</v>
      </c>
      <c r="CA100" s="320">
        <f t="shared" si="124"/>
        <v>0</v>
      </c>
      <c r="CB100" s="320">
        <f t="shared" si="97"/>
        <v>0</v>
      </c>
      <c r="CC100" s="427"/>
      <c r="CD100" s="320">
        <f t="shared" si="98"/>
        <v>0</v>
      </c>
      <c r="CE100" s="320">
        <f t="shared" si="99"/>
        <v>0</v>
      </c>
      <c r="CF100" s="320">
        <f t="shared" si="100"/>
        <v>0</v>
      </c>
      <c r="CG100" s="320">
        <f t="shared" si="101"/>
        <v>0</v>
      </c>
      <c r="CH100" s="427"/>
      <c r="CI100" s="427"/>
      <c r="CJ100" s="427"/>
      <c r="CK100" s="427"/>
      <c r="CL100" s="320">
        <f t="shared" si="116"/>
        <v>0</v>
      </c>
      <c r="CM100" s="320">
        <f t="shared" si="102"/>
        <v>0</v>
      </c>
      <c r="CN100" s="320">
        <f t="shared" si="103"/>
        <v>0</v>
      </c>
      <c r="CO100" s="320">
        <f t="shared" si="104"/>
        <v>0</v>
      </c>
      <c r="CP100" s="427"/>
      <c r="CQ100" s="427"/>
      <c r="CR100" s="320">
        <f t="shared" si="105"/>
        <v>0</v>
      </c>
      <c r="CS100" s="320">
        <f t="shared" si="115"/>
        <v>0</v>
      </c>
      <c r="CT100" s="320">
        <f t="shared" si="120"/>
        <v>0</v>
      </c>
      <c r="CU100" s="320">
        <f t="shared" si="121"/>
        <v>0</v>
      </c>
      <c r="CV100" s="427"/>
      <c r="CW100" s="17"/>
      <c r="CX100" s="320">
        <f t="shared" si="122"/>
        <v>0</v>
      </c>
      <c r="CY100" s="320">
        <f t="shared" si="107"/>
        <v>0</v>
      </c>
      <c r="CZ100" s="320">
        <f t="shared" si="108"/>
        <v>0</v>
      </c>
      <c r="DA100" s="17"/>
      <c r="DB100" s="17"/>
      <c r="DC100" s="17"/>
      <c r="DD100" s="31"/>
      <c r="DE100" s="321"/>
      <c r="DF100" s="321"/>
      <c r="DG100" s="321"/>
      <c r="DH100" s="321"/>
      <c r="DI100" s="321"/>
      <c r="DJ100" s="321"/>
      <c r="DK100" s="321"/>
      <c r="DL100" s="321"/>
      <c r="DM100" s="321"/>
      <c r="DN100" s="321"/>
      <c r="DO100" s="321"/>
      <c r="DP100" s="322"/>
      <c r="DQ100" s="288"/>
      <c r="DR100" s="241"/>
      <c r="DS100" s="429">
        <f t="shared" si="109"/>
        <v>0</v>
      </c>
      <c r="DT100" s="429"/>
      <c r="DU100" s="429"/>
      <c r="DV100" s="429"/>
      <c r="DW100" s="429"/>
      <c r="DX100" s="429"/>
      <c r="DY100" s="429"/>
      <c r="DZ100" s="134"/>
      <c r="EA100" s="134"/>
      <c r="EB100" s="134"/>
      <c r="EC100" s="134"/>
      <c r="ED100" s="123"/>
      <c r="EH100" s="46"/>
      <c r="EI100" s="45"/>
      <c r="EJ100" s="33" t="b">
        <f t="shared" si="110"/>
        <v>0</v>
      </c>
      <c r="EK100" s="42"/>
      <c r="EL100" s="42"/>
      <c r="EM100" s="42"/>
      <c r="EN100" s="439"/>
      <c r="EO100" s="439"/>
      <c r="EP100" s="439"/>
      <c r="EQ100" s="47"/>
      <c r="ER100" s="440"/>
      <c r="ES100" s="431"/>
      <c r="ET100" s="431"/>
      <c r="EU100" s="431"/>
      <c r="EV100" s="447"/>
      <c r="EZ100" s="393" t="s">
        <v>123</v>
      </c>
      <c r="FA100" s="393" t="s">
        <v>123</v>
      </c>
      <c r="FB100" s="389">
        <v>3.45</v>
      </c>
      <c r="FC100" s="389">
        <v>4.8499999999999996</v>
      </c>
      <c r="FD100" s="389">
        <v>5.55</v>
      </c>
      <c r="FE100" s="389">
        <v>6.25</v>
      </c>
      <c r="FF100" s="389">
        <v>6.25</v>
      </c>
      <c r="FG100" s="390">
        <v>2.8865979381443307E-2</v>
      </c>
      <c r="FH100" s="390">
        <v>2.5225225225225235E-2</v>
      </c>
      <c r="FI100" s="390">
        <v>0</v>
      </c>
      <c r="FJ100" s="391" t="s">
        <v>1389</v>
      </c>
      <c r="FK100" s="391">
        <v>-1</v>
      </c>
      <c r="FL100" s="31" t="s">
        <v>1394</v>
      </c>
      <c r="FN100" s="128" t="s">
        <v>1578</v>
      </c>
      <c r="FO100" s="128" t="s">
        <v>1579</v>
      </c>
      <c r="FP100" s="128"/>
    </row>
    <row r="101" spans="1:177" ht="22" hidden="1" customHeight="1" x14ac:dyDescent="0.2">
      <c r="A101" s="13" t="s">
        <v>4</v>
      </c>
      <c r="B101" s="362" t="s">
        <v>118</v>
      </c>
      <c r="C101" s="362"/>
      <c r="D101" s="362"/>
      <c r="E101" s="128" t="s">
        <v>124</v>
      </c>
      <c r="F101" s="20"/>
      <c r="G101" s="15" t="s">
        <v>635</v>
      </c>
      <c r="H101" s="91">
        <f t="shared" si="118"/>
        <v>0</v>
      </c>
      <c r="I101" s="95">
        <f t="shared" si="123"/>
        <v>0</v>
      </c>
      <c r="J101" s="93"/>
      <c r="K101" s="256">
        <f t="shared" si="70"/>
        <v>0</v>
      </c>
      <c r="L101" s="101">
        <v>0</v>
      </c>
      <c r="M101" s="25"/>
      <c r="N101" s="89"/>
      <c r="O101" s="98" t="str">
        <f t="shared" si="119"/>
        <v>_x000D__x000D_</v>
      </c>
      <c r="P101" s="98"/>
      <c r="Q101" s="55"/>
      <c r="R101" s="64" t="s">
        <v>918</v>
      </c>
      <c r="S101" s="425"/>
      <c r="T101" s="300" t="s">
        <v>855</v>
      </c>
      <c r="U101" s="300" t="s">
        <v>834</v>
      </c>
      <c r="V101" s="300" t="s">
        <v>834</v>
      </c>
      <c r="W101" s="258"/>
      <c r="X101" s="307" t="s">
        <v>834</v>
      </c>
      <c r="Y101" s="274"/>
      <c r="Z101" s="426"/>
      <c r="AA101" s="320">
        <f t="shared" si="64"/>
        <v>0</v>
      </c>
      <c r="AB101" s="320">
        <f t="shared" si="72"/>
        <v>0</v>
      </c>
      <c r="AC101" s="320">
        <f t="shared" si="73"/>
        <v>0</v>
      </c>
      <c r="AD101" s="320">
        <f t="shared" si="74"/>
        <v>0</v>
      </c>
      <c r="AE101" s="320">
        <f t="shared" si="111"/>
        <v>0</v>
      </c>
      <c r="AF101" s="320">
        <f t="shared" si="75"/>
        <v>0</v>
      </c>
      <c r="AG101" s="320">
        <f t="shared" si="63"/>
        <v>0</v>
      </c>
      <c r="AH101" s="427"/>
      <c r="AI101" s="320">
        <f t="shared" si="76"/>
        <v>0</v>
      </c>
      <c r="AJ101" s="320">
        <f t="shared" si="77"/>
        <v>0</v>
      </c>
      <c r="AK101" s="320">
        <f t="shared" si="78"/>
        <v>0</v>
      </c>
      <c r="AL101" s="320">
        <f t="shared" si="79"/>
        <v>0</v>
      </c>
      <c r="AM101" s="320">
        <f t="shared" si="80"/>
        <v>0</v>
      </c>
      <c r="AN101" s="320">
        <f t="shared" si="81"/>
        <v>0</v>
      </c>
      <c r="AO101" s="427"/>
      <c r="AP101" s="320">
        <f t="shared" si="112"/>
        <v>0</v>
      </c>
      <c r="AQ101" s="320">
        <f t="shared" si="82"/>
        <v>0</v>
      </c>
      <c r="AR101" s="320">
        <f t="shared" si="83"/>
        <v>0</v>
      </c>
      <c r="AS101" s="320">
        <f t="shared" si="84"/>
        <v>0</v>
      </c>
      <c r="AT101" s="320">
        <f t="shared" si="85"/>
        <v>0</v>
      </c>
      <c r="AU101" s="320">
        <f t="shared" si="86"/>
        <v>0</v>
      </c>
      <c r="AV101" s="427"/>
      <c r="AW101" s="320">
        <f t="shared" si="87"/>
        <v>0</v>
      </c>
      <c r="AX101" s="320">
        <f t="shared" si="88"/>
        <v>0</v>
      </c>
      <c r="AY101" s="320">
        <f t="shared" si="89"/>
        <v>0</v>
      </c>
      <c r="AZ101" s="320">
        <f t="shared" si="90"/>
        <v>0</v>
      </c>
      <c r="BA101" s="17">
        <v>1</v>
      </c>
      <c r="BB101" s="17" t="s">
        <v>855</v>
      </c>
      <c r="BC101" s="17"/>
      <c r="BD101" s="17"/>
      <c r="BE101" s="17"/>
      <c r="BF101" s="17"/>
      <c r="BG101" s="428">
        <f t="shared" si="65"/>
        <v>0</v>
      </c>
      <c r="BH101" s="17"/>
      <c r="BI101" s="17"/>
      <c r="BJ101" s="17"/>
      <c r="BK101" s="17"/>
      <c r="BL101" s="17"/>
      <c r="BM101" s="17"/>
      <c r="BN101" s="320">
        <f t="shared" si="66"/>
        <v>0</v>
      </c>
      <c r="BO101" s="320">
        <f t="shared" si="117"/>
        <v>0</v>
      </c>
      <c r="BP101" s="427"/>
      <c r="BQ101" s="427"/>
      <c r="BR101" s="320">
        <f t="shared" si="113"/>
        <v>0</v>
      </c>
      <c r="BS101" s="320">
        <f t="shared" si="113"/>
        <v>0</v>
      </c>
      <c r="BT101" s="427"/>
      <c r="BU101" s="320">
        <f t="shared" si="92"/>
        <v>0</v>
      </c>
      <c r="BV101" s="320">
        <f t="shared" si="93"/>
        <v>0</v>
      </c>
      <c r="BW101" s="320">
        <f t="shared" si="114"/>
        <v>0</v>
      </c>
      <c r="BX101" s="427"/>
      <c r="BY101" s="320">
        <f t="shared" si="94"/>
        <v>0</v>
      </c>
      <c r="BZ101" s="320">
        <f t="shared" si="95"/>
        <v>0</v>
      </c>
      <c r="CA101" s="320">
        <f t="shared" si="124"/>
        <v>0</v>
      </c>
      <c r="CB101" s="320">
        <f t="shared" si="97"/>
        <v>0</v>
      </c>
      <c r="CC101" s="427"/>
      <c r="CD101" s="320">
        <f t="shared" si="98"/>
        <v>0</v>
      </c>
      <c r="CE101" s="320">
        <f t="shared" si="99"/>
        <v>0</v>
      </c>
      <c r="CF101" s="320">
        <f t="shared" si="100"/>
        <v>0</v>
      </c>
      <c r="CG101" s="320">
        <f t="shared" si="101"/>
        <v>0</v>
      </c>
      <c r="CH101" s="427"/>
      <c r="CI101" s="427"/>
      <c r="CJ101" s="427"/>
      <c r="CK101" s="427"/>
      <c r="CL101" s="320">
        <f t="shared" si="116"/>
        <v>0</v>
      </c>
      <c r="CM101" s="320">
        <f t="shared" si="102"/>
        <v>0</v>
      </c>
      <c r="CN101" s="320">
        <f t="shared" si="103"/>
        <v>0</v>
      </c>
      <c r="CO101" s="320">
        <f t="shared" si="104"/>
        <v>0</v>
      </c>
      <c r="CP101" s="427"/>
      <c r="CQ101" s="427"/>
      <c r="CR101" s="320">
        <f t="shared" si="105"/>
        <v>0</v>
      </c>
      <c r="CS101" s="320">
        <f t="shared" si="115"/>
        <v>0</v>
      </c>
      <c r="CT101" s="320">
        <f t="shared" si="120"/>
        <v>0</v>
      </c>
      <c r="CU101" s="320">
        <f t="shared" si="121"/>
        <v>0</v>
      </c>
      <c r="CV101" s="427"/>
      <c r="CW101" s="17"/>
      <c r="CX101" s="320">
        <f t="shared" si="122"/>
        <v>0</v>
      </c>
      <c r="CY101" s="320">
        <f t="shared" si="107"/>
        <v>0</v>
      </c>
      <c r="CZ101" s="320">
        <f t="shared" si="108"/>
        <v>0</v>
      </c>
      <c r="DA101" s="17"/>
      <c r="DB101" s="17"/>
      <c r="DC101" s="17"/>
      <c r="DD101" s="31"/>
      <c r="DE101" s="323"/>
      <c r="DF101" s="323"/>
      <c r="DG101" s="323"/>
      <c r="DH101" s="323"/>
      <c r="DI101" s="323"/>
      <c r="DJ101" s="323"/>
      <c r="DK101" s="323"/>
      <c r="DL101" s="323"/>
      <c r="DM101" s="323"/>
      <c r="DN101" s="323"/>
      <c r="DO101" s="323"/>
      <c r="DP101" s="324"/>
      <c r="DQ101" s="288"/>
      <c r="DR101" s="242"/>
      <c r="DS101" s="429">
        <f t="shared" si="109"/>
        <v>0</v>
      </c>
      <c r="DT101" s="429"/>
      <c r="DU101" s="429"/>
      <c r="DV101" s="429"/>
      <c r="DW101" s="429"/>
      <c r="DX101" s="429"/>
      <c r="DY101" s="429"/>
      <c r="DZ101" s="134"/>
      <c r="EA101" s="134"/>
      <c r="EB101" s="134"/>
      <c r="EC101" s="134"/>
      <c r="ED101" s="123"/>
      <c r="EH101" s="76">
        <v>0</v>
      </c>
      <c r="EI101" s="77"/>
      <c r="EJ101" s="33" t="b">
        <f t="shared" si="110"/>
        <v>0</v>
      </c>
      <c r="EK101" s="42"/>
      <c r="EL101" s="42"/>
      <c r="EM101" s="42"/>
      <c r="EN101" s="439"/>
      <c r="EO101" s="439"/>
      <c r="EP101" s="439"/>
      <c r="EQ101" s="38"/>
      <c r="ER101" s="440">
        <v>0</v>
      </c>
      <c r="ES101" s="431"/>
      <c r="ET101" s="431" t="s">
        <v>671</v>
      </c>
      <c r="EU101" s="431"/>
      <c r="EV101" s="447"/>
      <c r="EZ101" s="393" t="s">
        <v>124</v>
      </c>
      <c r="FA101" s="393" t="s">
        <v>124</v>
      </c>
      <c r="FB101" s="389">
        <v>836.4</v>
      </c>
      <c r="FC101" s="389">
        <v>858.3</v>
      </c>
      <c r="FD101" s="389">
        <v>869.3</v>
      </c>
      <c r="FE101" s="389">
        <v>677</v>
      </c>
      <c r="FF101" s="389">
        <v>637</v>
      </c>
      <c r="FG101" s="390">
        <v>2.5632063381102179E-3</v>
      </c>
      <c r="FH101" s="390">
        <v>-4.4242493960657991E-2</v>
      </c>
      <c r="FI101" s="390">
        <v>-1.1816838995568684E-2</v>
      </c>
      <c r="FJ101" s="391">
        <v>-0.73290748468934319</v>
      </c>
      <c r="FK101" s="391" t="s">
        <v>1386</v>
      </c>
      <c r="FL101" s="31" t="s">
        <v>1388</v>
      </c>
      <c r="FN101" s="342" t="s">
        <v>1580</v>
      </c>
      <c r="FO101" s="342" t="s">
        <v>1581</v>
      </c>
      <c r="FP101" s="342"/>
    </row>
    <row r="102" spans="1:177" ht="22" hidden="1" customHeight="1" x14ac:dyDescent="0.2">
      <c r="A102" s="13" t="s">
        <v>4</v>
      </c>
      <c r="B102" s="14" t="s">
        <v>47</v>
      </c>
      <c r="C102" s="236"/>
      <c r="D102" s="236" t="s">
        <v>1068</v>
      </c>
      <c r="E102" s="127" t="s">
        <v>125</v>
      </c>
      <c r="F102" s="15" t="s">
        <v>638</v>
      </c>
      <c r="G102" s="15" t="s">
        <v>634</v>
      </c>
      <c r="H102" s="91">
        <f t="shared" si="118"/>
        <v>1</v>
      </c>
      <c r="I102" s="95">
        <f t="shared" si="123"/>
        <v>0</v>
      </c>
      <c r="J102" s="91">
        <v>2</v>
      </c>
      <c r="K102" s="256">
        <f t="shared" ref="K102:K133" si="125">SUM(H102:J102)</f>
        <v>3</v>
      </c>
      <c r="L102" s="101">
        <v>0</v>
      </c>
      <c r="M102" s="25"/>
      <c r="N102" s="89"/>
      <c r="O102" s="98" t="str">
        <f t="shared" si="119"/>
        <v>70% forest cover by 2020 and maintain this through 2030 (National Forest Strategy) (Conditional target)_x000D__x000D_-</v>
      </c>
      <c r="P102" s="144" t="str">
        <f>CONCATENATE(V102,R102,X102)</f>
        <v xml:space="preserve"> _x000D__x000D_The National Adaptation Programme of Action (2009) maps out a country-driven programme to address immediate and projected climate change adaptation requirements 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_x000D_[It includes the following actions : ]_x000D_- Promote Climate Resilience in Forestry Production and Forest Ecosystems_x000D_- Promote Technical Capacity in the Forestry Sector for Managing Forests for Climate Change Adaptation</v>
      </c>
      <c r="Q102" s="55" t="s">
        <v>507</v>
      </c>
      <c r="R102" s="64" t="s">
        <v>918</v>
      </c>
      <c r="S102" s="446" t="s">
        <v>386</v>
      </c>
      <c r="T102" s="300" t="s">
        <v>925</v>
      </c>
      <c r="U102" s="300" t="s">
        <v>925</v>
      </c>
      <c r="V102" s="300" t="s">
        <v>924</v>
      </c>
      <c r="W102" s="258"/>
      <c r="X102" s="307" t="s">
        <v>927</v>
      </c>
      <c r="Y102" s="297"/>
      <c r="Z102" s="426" t="s">
        <v>323</v>
      </c>
      <c r="AA102" s="320">
        <f t="shared" si="64"/>
        <v>1</v>
      </c>
      <c r="AB102" s="320">
        <f t="shared" si="72"/>
        <v>1</v>
      </c>
      <c r="AC102" s="320">
        <f t="shared" si="73"/>
        <v>1</v>
      </c>
      <c r="AD102" s="320">
        <f t="shared" si="74"/>
        <v>1</v>
      </c>
      <c r="AE102" s="320">
        <f t="shared" si="111"/>
        <v>0</v>
      </c>
      <c r="AF102" s="320">
        <f t="shared" si="75"/>
        <v>0</v>
      </c>
      <c r="AG102" s="320">
        <f t="shared" si="63"/>
        <v>1</v>
      </c>
      <c r="AH102" s="427">
        <v>1</v>
      </c>
      <c r="AI102" s="320">
        <f t="shared" si="76"/>
        <v>1</v>
      </c>
      <c r="AJ102" s="320">
        <f t="shared" si="77"/>
        <v>0</v>
      </c>
      <c r="AK102" s="320">
        <f t="shared" si="78"/>
        <v>0</v>
      </c>
      <c r="AL102" s="320">
        <f t="shared" si="79"/>
        <v>0</v>
      </c>
      <c r="AM102" s="320">
        <f t="shared" si="80"/>
        <v>0</v>
      </c>
      <c r="AN102" s="320">
        <f t="shared" si="81"/>
        <v>0</v>
      </c>
      <c r="AO102" s="427">
        <v>0</v>
      </c>
      <c r="AP102" s="320">
        <f t="shared" si="112"/>
        <v>0</v>
      </c>
      <c r="AQ102" s="320">
        <f t="shared" si="82"/>
        <v>0</v>
      </c>
      <c r="AR102" s="320">
        <f t="shared" si="83"/>
        <v>0</v>
      </c>
      <c r="AS102" s="320">
        <f t="shared" si="84"/>
        <v>0</v>
      </c>
      <c r="AT102" s="320">
        <f t="shared" si="85"/>
        <v>0</v>
      </c>
      <c r="AU102" s="320">
        <f t="shared" si="86"/>
        <v>0</v>
      </c>
      <c r="AV102" s="427">
        <v>0</v>
      </c>
      <c r="AW102" s="320">
        <f t="shared" si="87"/>
        <v>0</v>
      </c>
      <c r="AX102" s="320">
        <f t="shared" si="88"/>
        <v>0</v>
      </c>
      <c r="AY102" s="320">
        <f t="shared" si="89"/>
        <v>0</v>
      </c>
      <c r="AZ102" s="320">
        <f t="shared" si="90"/>
        <v>0</v>
      </c>
      <c r="BA102" s="17">
        <v>0</v>
      </c>
      <c r="BB102" s="17" t="s">
        <v>1281</v>
      </c>
      <c r="BC102" s="17">
        <v>0</v>
      </c>
      <c r="BD102" s="17">
        <v>0</v>
      </c>
      <c r="BE102" s="17">
        <v>0</v>
      </c>
      <c r="BF102" s="17">
        <v>1</v>
      </c>
      <c r="BG102" s="428">
        <f t="shared" si="65"/>
        <v>1</v>
      </c>
      <c r="BH102" s="17">
        <v>0</v>
      </c>
      <c r="BI102" s="17">
        <v>0</v>
      </c>
      <c r="BJ102" s="17" t="s">
        <v>1237</v>
      </c>
      <c r="BK102" s="17"/>
      <c r="BL102" s="17">
        <v>0</v>
      </c>
      <c r="BM102" s="17" t="s">
        <v>834</v>
      </c>
      <c r="BN102" s="320">
        <f t="shared" si="66"/>
        <v>0</v>
      </c>
      <c r="BO102" s="320">
        <f t="shared" si="117"/>
        <v>0</v>
      </c>
      <c r="BP102" s="427">
        <v>0</v>
      </c>
      <c r="BQ102" s="427" t="s">
        <v>834</v>
      </c>
      <c r="BR102" s="320">
        <f t="shared" si="113"/>
        <v>0</v>
      </c>
      <c r="BS102" s="320">
        <f>IF(ISNUMBER(SEARCH("t",$BP102)),1,0)</f>
        <v>0</v>
      </c>
      <c r="BT102" s="427">
        <v>1</v>
      </c>
      <c r="BU102" s="320">
        <f t="shared" si="92"/>
        <v>1</v>
      </c>
      <c r="BV102" s="320">
        <f t="shared" si="93"/>
        <v>0</v>
      </c>
      <c r="BW102" s="320">
        <f t="shared" si="114"/>
        <v>0</v>
      </c>
      <c r="BX102" s="427">
        <v>1.3</v>
      </c>
      <c r="BY102" s="320">
        <f t="shared" si="94"/>
        <v>1</v>
      </c>
      <c r="BZ102" s="320">
        <f t="shared" si="95"/>
        <v>0</v>
      </c>
      <c r="CA102" s="320">
        <f t="shared" si="124"/>
        <v>1</v>
      </c>
      <c r="CB102" s="320">
        <f t="shared" si="97"/>
        <v>0</v>
      </c>
      <c r="CC102" s="427">
        <v>1</v>
      </c>
      <c r="CD102" s="320">
        <f t="shared" si="98"/>
        <v>1</v>
      </c>
      <c r="CE102" s="320">
        <f t="shared" si="99"/>
        <v>0</v>
      </c>
      <c r="CF102" s="320">
        <f t="shared" si="100"/>
        <v>0</v>
      </c>
      <c r="CG102" s="320">
        <f t="shared" si="101"/>
        <v>0</v>
      </c>
      <c r="CH102" s="427">
        <v>1</v>
      </c>
      <c r="CI102" s="427">
        <v>0</v>
      </c>
      <c r="CJ102" s="427">
        <v>0</v>
      </c>
      <c r="CK102" s="427">
        <v>0</v>
      </c>
      <c r="CL102" s="320">
        <f t="shared" si="116"/>
        <v>0</v>
      </c>
      <c r="CM102" s="320">
        <f t="shared" si="102"/>
        <v>0</v>
      </c>
      <c r="CN102" s="320">
        <f t="shared" si="103"/>
        <v>0</v>
      </c>
      <c r="CO102" s="320">
        <f t="shared" si="104"/>
        <v>0</v>
      </c>
      <c r="CP102" s="427">
        <v>1</v>
      </c>
      <c r="CQ102" s="427">
        <v>2</v>
      </c>
      <c r="CR102" s="320">
        <f t="shared" si="105"/>
        <v>0</v>
      </c>
      <c r="CS102" s="320">
        <f t="shared" si="115"/>
        <v>0</v>
      </c>
      <c r="CT102" s="320">
        <f t="shared" si="120"/>
        <v>1</v>
      </c>
      <c r="CU102" s="320">
        <f t="shared" si="121"/>
        <v>0</v>
      </c>
      <c r="CV102" s="427">
        <v>0</v>
      </c>
      <c r="CW102" s="17">
        <v>4</v>
      </c>
      <c r="CX102" s="320">
        <f t="shared" si="122"/>
        <v>0</v>
      </c>
      <c r="CY102" s="320">
        <f t="shared" si="107"/>
        <v>0</v>
      </c>
      <c r="CZ102" s="320">
        <f t="shared" si="108"/>
        <v>0</v>
      </c>
      <c r="DA102" s="17">
        <v>1</v>
      </c>
      <c r="DB102" s="17">
        <v>0</v>
      </c>
      <c r="DC102" s="17">
        <v>1</v>
      </c>
      <c r="DD102" s="31"/>
      <c r="DE102" s="321" t="s">
        <v>392</v>
      </c>
      <c r="DF102" s="321" t="s">
        <v>476</v>
      </c>
      <c r="DG102" s="321" t="s">
        <v>392</v>
      </c>
      <c r="DH102" s="321" t="s">
        <v>387</v>
      </c>
      <c r="DI102" s="321"/>
      <c r="DJ102" s="321"/>
      <c r="DK102" s="321" t="s">
        <v>477</v>
      </c>
      <c r="DL102" s="321" t="s">
        <v>958</v>
      </c>
      <c r="DM102" s="321" t="s">
        <v>478</v>
      </c>
      <c r="DN102" s="321" t="s">
        <v>479</v>
      </c>
      <c r="DO102" s="321"/>
      <c r="DP102" s="322"/>
      <c r="DQ102" s="288"/>
      <c r="DR102" s="240">
        <f>SUM(DS102:DX102)/6</f>
        <v>0.22033011272141703</v>
      </c>
      <c r="DS102" s="429">
        <f t="shared" si="109"/>
        <v>0.2608695652173913</v>
      </c>
      <c r="DT102" s="429">
        <f>SUM(BA102:BE102,BG102)/5</f>
        <v>0.2</v>
      </c>
      <c r="DU102" s="429">
        <f>SUM(BI102,BO102,BS102,BU102:BW102)/6</f>
        <v>0.16666666666666666</v>
      </c>
      <c r="DV102" s="429">
        <f>SUM(BY102-CB102,CD102-CG102)/8</f>
        <v>0.25</v>
      </c>
      <c r="DW102" s="429">
        <f>SUM(CH102:CJ102,CL102:CO102,BN102,BR102)/9</f>
        <v>0.1111111111111111</v>
      </c>
      <c r="DX102" s="429">
        <f>SUM(CP102,CR102:CV102)/6</f>
        <v>0.33333333333333331</v>
      </c>
      <c r="DY102" s="444"/>
      <c r="DZ102" s="137" t="s">
        <v>734</v>
      </c>
      <c r="EA102" s="135"/>
      <c r="EB102" s="135"/>
      <c r="EC102" s="135"/>
      <c r="ED102" s="124">
        <v>2</v>
      </c>
      <c r="EH102" s="179">
        <v>0</v>
      </c>
      <c r="EI102" s="180"/>
      <c r="EJ102" s="180" t="b">
        <f t="shared" si="110"/>
        <v>0</v>
      </c>
      <c r="EK102" s="181"/>
      <c r="EL102" s="181"/>
      <c r="EM102" s="181"/>
      <c r="EN102" s="181"/>
      <c r="EO102" s="181"/>
      <c r="EP102" s="181"/>
      <c r="EQ102" s="182"/>
      <c r="ER102" s="464"/>
      <c r="ES102" s="465"/>
      <c r="ET102" s="465" t="s">
        <v>248</v>
      </c>
      <c r="EU102" s="465"/>
      <c r="EV102" s="466"/>
      <c r="EZ102" s="393" t="s">
        <v>125</v>
      </c>
      <c r="FA102" s="393" t="s">
        <v>125</v>
      </c>
      <c r="FB102" s="389">
        <v>17644.900000000001</v>
      </c>
      <c r="FC102" s="389">
        <v>16525.990000000002</v>
      </c>
      <c r="FD102" s="389">
        <v>16869.71</v>
      </c>
      <c r="FE102" s="389">
        <v>17815.560000000001</v>
      </c>
      <c r="FF102" s="389">
        <v>18761.41</v>
      </c>
      <c r="FG102" s="390">
        <v>4.1597507925394787E-3</v>
      </c>
      <c r="FH102" s="390">
        <v>1.1213589326668948E-2</v>
      </c>
      <c r="FI102" s="390">
        <v>1.0618246072534329E-2</v>
      </c>
      <c r="FJ102" s="391" t="s">
        <v>1389</v>
      </c>
      <c r="FK102" s="391">
        <v>-5.3091230362675421E-2</v>
      </c>
      <c r="FL102" s="31" t="s">
        <v>1394</v>
      </c>
      <c r="FN102" s="127" t="s">
        <v>1582</v>
      </c>
      <c r="FO102" s="127" t="s">
        <v>1583</v>
      </c>
      <c r="FP102" s="127"/>
    </row>
    <row r="103" spans="1:177" ht="22" hidden="1" customHeight="1" x14ac:dyDescent="0.2">
      <c r="A103" s="13" t="s">
        <v>7</v>
      </c>
      <c r="B103" s="14" t="s">
        <v>77</v>
      </c>
      <c r="C103" s="14"/>
      <c r="D103" s="14"/>
      <c r="E103" s="128" t="s">
        <v>126</v>
      </c>
      <c r="F103" s="15"/>
      <c r="G103" s="15" t="s">
        <v>634</v>
      </c>
      <c r="H103" s="91">
        <f t="shared" si="118"/>
        <v>1</v>
      </c>
      <c r="I103" s="95">
        <f t="shared" si="123"/>
        <v>0</v>
      </c>
      <c r="J103" s="91"/>
      <c r="K103" s="256">
        <f t="shared" si="125"/>
        <v>1</v>
      </c>
      <c r="L103" s="101">
        <v>0</v>
      </c>
      <c r="M103" s="99"/>
      <c r="N103" s="89"/>
      <c r="O103" s="98" t="str">
        <f t="shared" si="119"/>
        <v>_x000D__x000D_</v>
      </c>
      <c r="P103" s="98"/>
      <c r="Q103" s="55"/>
      <c r="R103" s="64" t="s">
        <v>918</v>
      </c>
      <c r="S103" s="425"/>
      <c r="T103" s="300" t="s">
        <v>834</v>
      </c>
      <c r="U103" s="300" t="s">
        <v>834</v>
      </c>
      <c r="V103" s="300" t="s">
        <v>834</v>
      </c>
      <c r="W103" s="258"/>
      <c r="X103" s="307" t="s">
        <v>834</v>
      </c>
      <c r="Y103" s="274"/>
      <c r="Z103" s="426"/>
      <c r="AA103" s="320">
        <f t="shared" si="64"/>
        <v>0</v>
      </c>
      <c r="AB103" s="320">
        <f t="shared" si="72"/>
        <v>0</v>
      </c>
      <c r="AC103" s="320">
        <f t="shared" si="73"/>
        <v>0</v>
      </c>
      <c r="AD103" s="320">
        <f t="shared" si="74"/>
        <v>0</v>
      </c>
      <c r="AE103" s="320">
        <f t="shared" si="111"/>
        <v>0</v>
      </c>
      <c r="AF103" s="320">
        <f t="shared" si="75"/>
        <v>0</v>
      </c>
      <c r="AG103" s="320">
        <f t="shared" si="63"/>
        <v>0</v>
      </c>
      <c r="AH103" s="427"/>
      <c r="AI103" s="320">
        <f t="shared" si="76"/>
        <v>0</v>
      </c>
      <c r="AJ103" s="320">
        <f t="shared" si="77"/>
        <v>0</v>
      </c>
      <c r="AK103" s="320">
        <f t="shared" si="78"/>
        <v>0</v>
      </c>
      <c r="AL103" s="320">
        <f t="shared" si="79"/>
        <v>0</v>
      </c>
      <c r="AM103" s="320">
        <f t="shared" si="80"/>
        <v>0</v>
      </c>
      <c r="AN103" s="320">
        <f t="shared" si="81"/>
        <v>0</v>
      </c>
      <c r="AO103" s="427"/>
      <c r="AP103" s="320">
        <f t="shared" si="112"/>
        <v>0</v>
      </c>
      <c r="AQ103" s="320">
        <f t="shared" si="82"/>
        <v>0</v>
      </c>
      <c r="AR103" s="320">
        <f t="shared" si="83"/>
        <v>0</v>
      </c>
      <c r="AS103" s="320">
        <f t="shared" si="84"/>
        <v>0</v>
      </c>
      <c r="AT103" s="320">
        <f t="shared" si="85"/>
        <v>0</v>
      </c>
      <c r="AU103" s="320">
        <f t="shared" si="86"/>
        <v>0</v>
      </c>
      <c r="AV103" s="427"/>
      <c r="AW103" s="320">
        <f t="shared" si="87"/>
        <v>0</v>
      </c>
      <c r="AX103" s="320">
        <f t="shared" si="88"/>
        <v>0</v>
      </c>
      <c r="AY103" s="320">
        <f t="shared" si="89"/>
        <v>0</v>
      </c>
      <c r="AZ103" s="320">
        <f t="shared" si="90"/>
        <v>0</v>
      </c>
      <c r="BA103" s="17"/>
      <c r="BB103" s="17" t="s">
        <v>834</v>
      </c>
      <c r="BC103" s="17"/>
      <c r="BD103" s="17"/>
      <c r="BE103" s="17"/>
      <c r="BF103" s="17"/>
      <c r="BG103" s="428">
        <f t="shared" si="65"/>
        <v>0</v>
      </c>
      <c r="BH103" s="17"/>
      <c r="BI103" s="17"/>
      <c r="BJ103" s="17"/>
      <c r="BK103" s="17"/>
      <c r="BL103" s="17"/>
      <c r="BM103" s="17"/>
      <c r="BN103" s="320">
        <f t="shared" si="66"/>
        <v>0</v>
      </c>
      <c r="BO103" s="320">
        <f t="shared" si="117"/>
        <v>0</v>
      </c>
      <c r="BP103" s="427"/>
      <c r="BQ103" s="427"/>
      <c r="BR103" s="320">
        <f t="shared" ref="BR103:BS134" si="126">IF(ISNUMBER(SEARCH("1",$BP103)),1,0)</f>
        <v>0</v>
      </c>
      <c r="BS103" s="320">
        <f>IF(ISNUMBER(SEARCH("1",$BP103)),1,0)</f>
        <v>0</v>
      </c>
      <c r="BT103" s="427"/>
      <c r="BU103" s="320">
        <f t="shared" si="92"/>
        <v>0</v>
      </c>
      <c r="BV103" s="320">
        <f t="shared" si="93"/>
        <v>0</v>
      </c>
      <c r="BW103" s="320">
        <f t="shared" si="114"/>
        <v>0</v>
      </c>
      <c r="BX103" s="427"/>
      <c r="BY103" s="320">
        <f t="shared" si="94"/>
        <v>0</v>
      </c>
      <c r="BZ103" s="320">
        <f t="shared" si="95"/>
        <v>0</v>
      </c>
      <c r="CA103" s="320">
        <f t="shared" si="124"/>
        <v>0</v>
      </c>
      <c r="CB103" s="320">
        <f t="shared" si="97"/>
        <v>0</v>
      </c>
      <c r="CC103" s="427"/>
      <c r="CD103" s="320">
        <f t="shared" si="98"/>
        <v>0</v>
      </c>
      <c r="CE103" s="320">
        <f t="shared" si="99"/>
        <v>0</v>
      </c>
      <c r="CF103" s="320">
        <f t="shared" si="100"/>
        <v>0</v>
      </c>
      <c r="CG103" s="320">
        <f t="shared" si="101"/>
        <v>0</v>
      </c>
      <c r="CH103" s="427"/>
      <c r="CI103" s="427"/>
      <c r="CJ103" s="427"/>
      <c r="CK103" s="427"/>
      <c r="CL103" s="320">
        <f t="shared" si="116"/>
        <v>0</v>
      </c>
      <c r="CM103" s="320">
        <f t="shared" si="102"/>
        <v>0</v>
      </c>
      <c r="CN103" s="320">
        <f t="shared" si="103"/>
        <v>0</v>
      </c>
      <c r="CO103" s="320">
        <f t="shared" si="104"/>
        <v>0</v>
      </c>
      <c r="CP103" s="427"/>
      <c r="CQ103" s="427"/>
      <c r="CR103" s="320">
        <f t="shared" si="105"/>
        <v>0</v>
      </c>
      <c r="CS103" s="320">
        <f t="shared" si="115"/>
        <v>0</v>
      </c>
      <c r="CT103" s="320">
        <f t="shared" si="120"/>
        <v>0</v>
      </c>
      <c r="CU103" s="320">
        <f t="shared" si="121"/>
        <v>0</v>
      </c>
      <c r="CV103" s="427"/>
      <c r="CW103" s="17"/>
      <c r="CX103" s="320">
        <f t="shared" si="122"/>
        <v>0</v>
      </c>
      <c r="CY103" s="320">
        <f t="shared" si="107"/>
        <v>0</v>
      </c>
      <c r="CZ103" s="320">
        <f t="shared" si="108"/>
        <v>0</v>
      </c>
      <c r="DA103" s="17"/>
      <c r="DB103" s="17"/>
      <c r="DC103" s="17"/>
      <c r="DD103" s="31"/>
      <c r="DE103" s="323"/>
      <c r="DF103" s="323"/>
      <c r="DG103" s="323"/>
      <c r="DH103" s="323"/>
      <c r="DI103" s="323"/>
      <c r="DJ103" s="323"/>
      <c r="DK103" s="323"/>
      <c r="DL103" s="323"/>
      <c r="DM103" s="323"/>
      <c r="DN103" s="323"/>
      <c r="DO103" s="323"/>
      <c r="DP103" s="324"/>
      <c r="DQ103" s="288"/>
      <c r="DR103" s="242"/>
      <c r="DS103" s="429">
        <f t="shared" si="109"/>
        <v>0</v>
      </c>
      <c r="DT103" s="429"/>
      <c r="DU103" s="429"/>
      <c r="DV103" s="429"/>
      <c r="DW103" s="429"/>
      <c r="DX103" s="429"/>
      <c r="DY103" s="429"/>
      <c r="DZ103" s="134"/>
      <c r="EA103" s="134"/>
      <c r="EB103" s="134"/>
      <c r="EC103" s="134"/>
      <c r="ED103" s="123"/>
      <c r="EH103" s="46"/>
      <c r="EI103" s="45"/>
      <c r="EJ103" s="33" t="b">
        <f t="shared" si="110"/>
        <v>0</v>
      </c>
      <c r="EK103" s="42"/>
      <c r="EL103" s="42"/>
      <c r="EM103" s="42"/>
      <c r="EN103" s="439"/>
      <c r="EO103" s="439"/>
      <c r="EP103" s="439"/>
      <c r="EQ103" s="47"/>
      <c r="ER103" s="440"/>
      <c r="ES103" s="431"/>
      <c r="ET103" s="431"/>
      <c r="EU103" s="431"/>
      <c r="EV103" s="447"/>
      <c r="EZ103" s="393" t="s">
        <v>126</v>
      </c>
      <c r="FA103" s="393" t="s">
        <v>126</v>
      </c>
      <c r="FB103" s="389">
        <v>3173</v>
      </c>
      <c r="FC103" s="389">
        <v>3241</v>
      </c>
      <c r="FD103" s="389">
        <v>3297</v>
      </c>
      <c r="FE103" s="389">
        <v>3354</v>
      </c>
      <c r="FF103" s="389">
        <v>3356</v>
      </c>
      <c r="FG103" s="390">
        <v>3.4557235421166311E-3</v>
      </c>
      <c r="FH103" s="390">
        <v>3.4576888080072796E-3</v>
      </c>
      <c r="FI103" s="390">
        <v>1.1926058437686343E-4</v>
      </c>
      <c r="FJ103" s="391" t="s">
        <v>1389</v>
      </c>
      <c r="FK103" s="391">
        <v>-0.96550858362363878</v>
      </c>
      <c r="FL103" s="31" t="s">
        <v>1394</v>
      </c>
      <c r="FN103" s="128" t="s">
        <v>1584</v>
      </c>
      <c r="FO103" s="128" t="s">
        <v>1585</v>
      </c>
      <c r="FP103" s="128"/>
    </row>
    <row r="104" spans="1:177" ht="22" customHeight="1" x14ac:dyDescent="0.2">
      <c r="A104" s="13" t="s">
        <v>4</v>
      </c>
      <c r="B104" s="14" t="s">
        <v>21</v>
      </c>
      <c r="C104" s="14"/>
      <c r="D104" s="14"/>
      <c r="E104" s="216" t="s">
        <v>127</v>
      </c>
      <c r="F104" s="15" t="s">
        <v>1357</v>
      </c>
      <c r="G104" s="176" t="s">
        <v>635</v>
      </c>
      <c r="H104" s="177">
        <f t="shared" si="118"/>
        <v>0</v>
      </c>
      <c r="I104" s="178">
        <f t="shared" si="123"/>
        <v>0</v>
      </c>
      <c r="J104" s="177"/>
      <c r="K104" s="275">
        <f t="shared" si="125"/>
        <v>0</v>
      </c>
      <c r="L104" s="283">
        <v>0</v>
      </c>
      <c r="M104" s="159"/>
      <c r="N104" s="157">
        <v>0</v>
      </c>
      <c r="O104" s="158" t="str">
        <f t="shared" si="119"/>
        <v>N/A or not found_x000D__x000D_</v>
      </c>
      <c r="P104" s="98" t="str">
        <f>CONCATENATE(V104,R104,X104)</f>
        <v>N/A or not found_x000D__x000D_</v>
      </c>
      <c r="Q104" s="360" t="s">
        <v>925</v>
      </c>
      <c r="R104" s="64" t="s">
        <v>918</v>
      </c>
      <c r="S104" s="460"/>
      <c r="T104" s="314" t="s">
        <v>1093</v>
      </c>
      <c r="U104" s="344" t="s">
        <v>1094</v>
      </c>
      <c r="V104" s="300" t="s">
        <v>925</v>
      </c>
      <c r="W104" s="258"/>
      <c r="X104" s="306" t="s">
        <v>834</v>
      </c>
      <c r="Y104" s="295"/>
      <c r="Z104" s="426" t="s">
        <v>315</v>
      </c>
      <c r="AA104" s="320">
        <f t="shared" si="64"/>
        <v>1</v>
      </c>
      <c r="AB104" s="320">
        <f t="shared" si="72"/>
        <v>0</v>
      </c>
      <c r="AC104" s="320">
        <f t="shared" si="73"/>
        <v>0</v>
      </c>
      <c r="AD104" s="320">
        <f t="shared" si="74"/>
        <v>0</v>
      </c>
      <c r="AE104" s="320">
        <f t="shared" si="111"/>
        <v>1</v>
      </c>
      <c r="AF104" s="320">
        <f t="shared" si="75"/>
        <v>0</v>
      </c>
      <c r="AG104" s="320">
        <f t="shared" si="63"/>
        <v>0</v>
      </c>
      <c r="AH104" s="427">
        <v>1</v>
      </c>
      <c r="AI104" s="320">
        <f t="shared" si="76"/>
        <v>1</v>
      </c>
      <c r="AJ104" s="320">
        <f t="shared" si="77"/>
        <v>0</v>
      </c>
      <c r="AK104" s="320">
        <f t="shared" si="78"/>
        <v>0</v>
      </c>
      <c r="AL104" s="320">
        <f t="shared" si="79"/>
        <v>0</v>
      </c>
      <c r="AM104" s="320">
        <f t="shared" si="80"/>
        <v>0</v>
      </c>
      <c r="AN104" s="320">
        <f t="shared" si="81"/>
        <v>0</v>
      </c>
      <c r="AO104" s="427">
        <v>1</v>
      </c>
      <c r="AP104" s="320">
        <f t="shared" si="112"/>
        <v>1</v>
      </c>
      <c r="AQ104" s="320">
        <f t="shared" si="82"/>
        <v>0</v>
      </c>
      <c r="AR104" s="320">
        <f t="shared" si="83"/>
        <v>0</v>
      </c>
      <c r="AS104" s="320">
        <f t="shared" si="84"/>
        <v>0</v>
      </c>
      <c r="AT104" s="320">
        <f t="shared" si="85"/>
        <v>0</v>
      </c>
      <c r="AU104" s="320">
        <f t="shared" si="86"/>
        <v>0</v>
      </c>
      <c r="AV104" s="427">
        <v>1</v>
      </c>
      <c r="AW104" s="320">
        <f t="shared" si="87"/>
        <v>1</v>
      </c>
      <c r="AX104" s="320">
        <f t="shared" si="88"/>
        <v>0</v>
      </c>
      <c r="AY104" s="320">
        <f t="shared" si="89"/>
        <v>0</v>
      </c>
      <c r="AZ104" s="320">
        <f t="shared" si="90"/>
        <v>0</v>
      </c>
      <c r="BA104" s="17">
        <v>1</v>
      </c>
      <c r="BB104" s="17" t="s">
        <v>1307</v>
      </c>
      <c r="BC104" s="17">
        <v>0</v>
      </c>
      <c r="BD104" s="17">
        <v>1</v>
      </c>
      <c r="BE104" s="17">
        <v>0</v>
      </c>
      <c r="BF104" s="17">
        <v>0</v>
      </c>
      <c r="BG104" s="428">
        <f t="shared" si="65"/>
        <v>0</v>
      </c>
      <c r="BH104" s="17">
        <v>1</v>
      </c>
      <c r="BI104" s="17">
        <v>1</v>
      </c>
      <c r="BJ104" s="17" t="s">
        <v>1186</v>
      </c>
      <c r="BK104" s="17">
        <v>1</v>
      </c>
      <c r="BL104" s="17">
        <v>0</v>
      </c>
      <c r="BM104" s="17" t="s">
        <v>834</v>
      </c>
      <c r="BN104" s="320">
        <f t="shared" si="66"/>
        <v>0</v>
      </c>
      <c r="BO104" s="320">
        <f t="shared" si="117"/>
        <v>0</v>
      </c>
      <c r="BP104" s="427">
        <v>0</v>
      </c>
      <c r="BQ104" s="427" t="s">
        <v>1260</v>
      </c>
      <c r="BR104" s="320">
        <f t="shared" si="126"/>
        <v>0</v>
      </c>
      <c r="BS104" s="320">
        <f>IF(ISNUMBER(SEARCH("1",$BP104)),1,0)</f>
        <v>0</v>
      </c>
      <c r="BT104" s="427">
        <v>1</v>
      </c>
      <c r="BU104" s="320">
        <f t="shared" si="92"/>
        <v>1</v>
      </c>
      <c r="BV104" s="320">
        <f t="shared" si="93"/>
        <v>0</v>
      </c>
      <c r="BW104" s="320">
        <f t="shared" si="114"/>
        <v>0</v>
      </c>
      <c r="BX104" s="427">
        <v>1</v>
      </c>
      <c r="BY104" s="320">
        <f t="shared" si="94"/>
        <v>1</v>
      </c>
      <c r="BZ104" s="320">
        <f t="shared" si="95"/>
        <v>0</v>
      </c>
      <c r="CA104" s="320">
        <v>0</v>
      </c>
      <c r="CB104" s="320">
        <f t="shared" si="97"/>
        <v>0</v>
      </c>
      <c r="CC104" s="427">
        <v>0</v>
      </c>
      <c r="CD104" s="320">
        <f t="shared" si="98"/>
        <v>0</v>
      </c>
      <c r="CE104" s="320">
        <f t="shared" si="99"/>
        <v>0</v>
      </c>
      <c r="CF104" s="320">
        <f t="shared" si="100"/>
        <v>0</v>
      </c>
      <c r="CG104" s="320">
        <f t="shared" si="101"/>
        <v>0</v>
      </c>
      <c r="CH104" s="427">
        <v>0</v>
      </c>
      <c r="CI104" s="427">
        <v>0</v>
      </c>
      <c r="CJ104" s="427">
        <v>0</v>
      </c>
      <c r="CK104" s="427" t="s">
        <v>224</v>
      </c>
      <c r="CL104" s="320">
        <f t="shared" si="116"/>
        <v>1</v>
      </c>
      <c r="CM104" s="320">
        <f t="shared" si="102"/>
        <v>1</v>
      </c>
      <c r="CN104" s="320">
        <f t="shared" si="103"/>
        <v>1</v>
      </c>
      <c r="CO104" s="320">
        <f t="shared" si="104"/>
        <v>0</v>
      </c>
      <c r="CP104" s="427">
        <v>1</v>
      </c>
      <c r="CQ104" s="427" t="s">
        <v>317</v>
      </c>
      <c r="CR104" s="320">
        <f t="shared" si="105"/>
        <v>1</v>
      </c>
      <c r="CS104" s="320">
        <f t="shared" si="115"/>
        <v>0</v>
      </c>
      <c r="CT104" s="320">
        <f t="shared" si="120"/>
        <v>1</v>
      </c>
      <c r="CU104" s="320">
        <f t="shared" si="121"/>
        <v>0</v>
      </c>
      <c r="CV104" s="427">
        <v>0</v>
      </c>
      <c r="CW104" s="17">
        <v>0</v>
      </c>
      <c r="CX104" s="320">
        <f t="shared" si="122"/>
        <v>0</v>
      </c>
      <c r="CY104" s="320">
        <f t="shared" si="107"/>
        <v>0</v>
      </c>
      <c r="CZ104" s="320">
        <f t="shared" si="108"/>
        <v>0</v>
      </c>
      <c r="DA104" s="17">
        <v>1</v>
      </c>
      <c r="DB104" s="17">
        <v>0</v>
      </c>
      <c r="DC104" s="17">
        <v>0</v>
      </c>
      <c r="DD104" s="31"/>
      <c r="DE104" s="352" t="s">
        <v>388</v>
      </c>
      <c r="DF104" s="352" t="s">
        <v>388</v>
      </c>
      <c r="DG104" s="352" t="s">
        <v>388</v>
      </c>
      <c r="DH104" s="352" t="s">
        <v>388</v>
      </c>
      <c r="DI104" s="346" t="s">
        <v>388</v>
      </c>
      <c r="DJ104" s="352" t="s">
        <v>388</v>
      </c>
      <c r="DK104" s="352" t="s">
        <v>388</v>
      </c>
      <c r="DL104" s="352" t="s">
        <v>388</v>
      </c>
      <c r="DM104" s="352" t="s">
        <v>388</v>
      </c>
      <c r="DN104" s="352" t="s">
        <v>388</v>
      </c>
      <c r="DO104" s="352" t="s">
        <v>388</v>
      </c>
      <c r="DP104" s="351">
        <v>1</v>
      </c>
      <c r="DQ104" s="381"/>
      <c r="DR104" s="239">
        <f>SUM(DS104:DX104)/6</f>
        <v>0.31817632850241545</v>
      </c>
      <c r="DS104" s="429">
        <f t="shared" si="109"/>
        <v>0.21739130434782608</v>
      </c>
      <c r="DT104" s="429">
        <f>SUM(BA104:BE104,BG104)/5</f>
        <v>0.4</v>
      </c>
      <c r="DU104" s="429">
        <f>SUM(BI104,BO104,BS104,BU104:BW104)/6</f>
        <v>0.33333333333333331</v>
      </c>
      <c r="DV104" s="429">
        <f>SUM(BY104-CB104,CD104-CG104)/8</f>
        <v>0.125</v>
      </c>
      <c r="DW104" s="429">
        <f>SUM(CH104:CJ104,CL104:CO104,BN104,BR104)/9</f>
        <v>0.33333333333333331</v>
      </c>
      <c r="DX104" s="429">
        <f>SUM(CP104,CR104:CV104)/6</f>
        <v>0.5</v>
      </c>
      <c r="DY104" s="461"/>
      <c r="DZ104" s="183"/>
      <c r="EA104" s="183"/>
      <c r="EB104" s="183"/>
      <c r="EC104" s="183"/>
      <c r="ED104" s="190"/>
      <c r="EH104" s="44">
        <v>0</v>
      </c>
      <c r="EI104" s="45"/>
      <c r="EJ104" s="33" t="b">
        <f t="shared" si="110"/>
        <v>0</v>
      </c>
      <c r="EK104" s="42"/>
      <c r="EL104" s="42"/>
      <c r="EM104" s="42"/>
      <c r="EN104" s="439"/>
      <c r="EO104" s="439"/>
      <c r="EP104" s="439"/>
      <c r="EQ104" s="38"/>
      <c r="ER104" s="440">
        <v>1</v>
      </c>
      <c r="ES104" s="431"/>
      <c r="ET104" s="431"/>
      <c r="EU104" s="431"/>
      <c r="EV104" s="447"/>
      <c r="EZ104" s="393" t="s">
        <v>127</v>
      </c>
      <c r="FA104" s="393" t="s">
        <v>127</v>
      </c>
      <c r="FB104" s="389">
        <v>131</v>
      </c>
      <c r="FC104" s="389">
        <v>131</v>
      </c>
      <c r="FD104" s="389">
        <v>136.5</v>
      </c>
      <c r="FE104" s="389">
        <v>136.9</v>
      </c>
      <c r="FF104" s="389">
        <v>137.30000000000001</v>
      </c>
      <c r="FG104" s="390">
        <v>8.3969465648854966E-3</v>
      </c>
      <c r="FH104" s="390">
        <v>5.8608058608059443E-4</v>
      </c>
      <c r="FI104" s="390">
        <v>5.8436815193572771E-4</v>
      </c>
      <c r="FJ104" s="391" t="s">
        <v>1389</v>
      </c>
      <c r="FK104" s="391">
        <v>-2.9218407596787945E-3</v>
      </c>
      <c r="FL104" s="31" t="s">
        <v>1394</v>
      </c>
      <c r="FN104" s="216" t="s">
        <v>1586</v>
      </c>
      <c r="FO104" s="216" t="s">
        <v>1587</v>
      </c>
      <c r="FP104" s="215" t="s">
        <v>1346</v>
      </c>
      <c r="FR104" s="402">
        <v>1</v>
      </c>
      <c r="FS104" s="402">
        <v>1</v>
      </c>
      <c r="FT104" s="402">
        <v>1</v>
      </c>
      <c r="FU104" s="402">
        <v>1</v>
      </c>
    </row>
    <row r="105" spans="1:177" ht="22" hidden="1" customHeight="1" x14ac:dyDescent="0.2">
      <c r="A105" s="13" t="s">
        <v>10</v>
      </c>
      <c r="B105" s="14" t="s">
        <v>44</v>
      </c>
      <c r="C105" s="14"/>
      <c r="D105" s="14"/>
      <c r="E105" s="128" t="s">
        <v>128</v>
      </c>
      <c r="F105" s="15"/>
      <c r="G105" s="15" t="s">
        <v>634</v>
      </c>
      <c r="H105" s="91">
        <f t="shared" si="118"/>
        <v>1</v>
      </c>
      <c r="I105" s="95">
        <f t="shared" si="123"/>
        <v>0</v>
      </c>
      <c r="J105" s="91"/>
      <c r="K105" s="256">
        <f t="shared" si="125"/>
        <v>1</v>
      </c>
      <c r="L105" s="101">
        <v>0</v>
      </c>
      <c r="M105" s="99"/>
      <c r="N105" s="89"/>
      <c r="O105" s="98" t="str">
        <f t="shared" si="119"/>
        <v>_x000D__x000D_</v>
      </c>
      <c r="P105" s="98"/>
      <c r="Q105" s="55"/>
      <c r="R105" s="64" t="s">
        <v>918</v>
      </c>
      <c r="S105" s="425"/>
      <c r="T105" s="300" t="s">
        <v>834</v>
      </c>
      <c r="U105" s="300" t="s">
        <v>834</v>
      </c>
      <c r="V105" s="300" t="s">
        <v>834</v>
      </c>
      <c r="W105" s="258"/>
      <c r="X105" s="307" t="s">
        <v>834</v>
      </c>
      <c r="Y105" s="274"/>
      <c r="Z105" s="426"/>
      <c r="AA105" s="320">
        <f t="shared" si="64"/>
        <v>0</v>
      </c>
      <c r="AB105" s="320">
        <f t="shared" si="72"/>
        <v>0</v>
      </c>
      <c r="AC105" s="320">
        <f t="shared" si="73"/>
        <v>0</v>
      </c>
      <c r="AD105" s="320">
        <f t="shared" si="74"/>
        <v>0</v>
      </c>
      <c r="AE105" s="320">
        <f t="shared" si="111"/>
        <v>0</v>
      </c>
      <c r="AF105" s="320">
        <f t="shared" si="75"/>
        <v>0</v>
      </c>
      <c r="AG105" s="320">
        <f t="shared" si="63"/>
        <v>0</v>
      </c>
      <c r="AH105" s="427"/>
      <c r="AI105" s="320">
        <f t="shared" si="76"/>
        <v>0</v>
      </c>
      <c r="AJ105" s="320">
        <f t="shared" si="77"/>
        <v>0</v>
      </c>
      <c r="AK105" s="320">
        <f t="shared" si="78"/>
        <v>0</v>
      </c>
      <c r="AL105" s="320">
        <f t="shared" si="79"/>
        <v>0</v>
      </c>
      <c r="AM105" s="320">
        <f t="shared" si="80"/>
        <v>0</v>
      </c>
      <c r="AN105" s="320">
        <f t="shared" si="81"/>
        <v>0</v>
      </c>
      <c r="AO105" s="427"/>
      <c r="AP105" s="320">
        <f t="shared" si="112"/>
        <v>0</v>
      </c>
      <c r="AQ105" s="320">
        <f t="shared" si="82"/>
        <v>0</v>
      </c>
      <c r="AR105" s="320">
        <f t="shared" si="83"/>
        <v>0</v>
      </c>
      <c r="AS105" s="320">
        <f t="shared" si="84"/>
        <v>0</v>
      </c>
      <c r="AT105" s="320">
        <f t="shared" si="85"/>
        <v>0</v>
      </c>
      <c r="AU105" s="320">
        <f t="shared" si="86"/>
        <v>0</v>
      </c>
      <c r="AV105" s="427"/>
      <c r="AW105" s="320">
        <f t="shared" si="87"/>
        <v>0</v>
      </c>
      <c r="AX105" s="320">
        <f t="shared" si="88"/>
        <v>0</v>
      </c>
      <c r="AY105" s="320">
        <f t="shared" si="89"/>
        <v>0</v>
      </c>
      <c r="AZ105" s="320">
        <f t="shared" si="90"/>
        <v>0</v>
      </c>
      <c r="BA105" s="17"/>
      <c r="BB105" s="17" t="s">
        <v>834</v>
      </c>
      <c r="BC105" s="17"/>
      <c r="BD105" s="17"/>
      <c r="BE105" s="17"/>
      <c r="BF105" s="17"/>
      <c r="BG105" s="428">
        <f t="shared" si="65"/>
        <v>0</v>
      </c>
      <c r="BH105" s="17"/>
      <c r="BI105" s="17"/>
      <c r="BJ105" s="17"/>
      <c r="BK105" s="17"/>
      <c r="BL105" s="17"/>
      <c r="BM105" s="17"/>
      <c r="BN105" s="320">
        <f t="shared" si="66"/>
        <v>0</v>
      </c>
      <c r="BO105" s="320">
        <f t="shared" si="117"/>
        <v>0</v>
      </c>
      <c r="BP105" s="427"/>
      <c r="BQ105" s="427"/>
      <c r="BR105" s="320">
        <f t="shared" si="126"/>
        <v>0</v>
      </c>
      <c r="BS105" s="320">
        <f>IF(ISNUMBER(SEARCH("1",$BP105)),1,0)</f>
        <v>0</v>
      </c>
      <c r="BT105" s="427"/>
      <c r="BU105" s="320">
        <f t="shared" si="92"/>
        <v>0</v>
      </c>
      <c r="BV105" s="320">
        <f t="shared" si="93"/>
        <v>0</v>
      </c>
      <c r="BW105" s="320">
        <f t="shared" si="114"/>
        <v>0</v>
      </c>
      <c r="BX105" s="427"/>
      <c r="BY105" s="320">
        <f t="shared" si="94"/>
        <v>0</v>
      </c>
      <c r="BZ105" s="320">
        <f t="shared" si="95"/>
        <v>0</v>
      </c>
      <c r="CA105" s="320">
        <f t="shared" ref="CA105:CA168" si="127">IF(ISNUMBER(SEARCH("3",$BX105)),1,0)</f>
        <v>0</v>
      </c>
      <c r="CB105" s="320">
        <f t="shared" si="97"/>
        <v>0</v>
      </c>
      <c r="CC105" s="427"/>
      <c r="CD105" s="320">
        <f t="shared" si="98"/>
        <v>0</v>
      </c>
      <c r="CE105" s="320">
        <f t="shared" si="99"/>
        <v>0</v>
      </c>
      <c r="CF105" s="320">
        <f t="shared" si="100"/>
        <v>0</v>
      </c>
      <c r="CG105" s="320">
        <f t="shared" si="101"/>
        <v>0</v>
      </c>
      <c r="CH105" s="427"/>
      <c r="CI105" s="427"/>
      <c r="CJ105" s="427"/>
      <c r="CK105" s="427"/>
      <c r="CL105" s="320">
        <f t="shared" si="116"/>
        <v>0</v>
      </c>
      <c r="CM105" s="320">
        <f t="shared" si="102"/>
        <v>0</v>
      </c>
      <c r="CN105" s="320">
        <f t="shared" si="103"/>
        <v>0</v>
      </c>
      <c r="CO105" s="320">
        <f t="shared" si="104"/>
        <v>0</v>
      </c>
      <c r="CP105" s="427"/>
      <c r="CQ105" s="427"/>
      <c r="CR105" s="320">
        <f t="shared" si="105"/>
        <v>0</v>
      </c>
      <c r="CS105" s="320">
        <f t="shared" si="115"/>
        <v>0</v>
      </c>
      <c r="CT105" s="320">
        <f t="shared" si="120"/>
        <v>0</v>
      </c>
      <c r="CU105" s="320">
        <f t="shared" si="121"/>
        <v>0</v>
      </c>
      <c r="CV105" s="427"/>
      <c r="CW105" s="17"/>
      <c r="CX105" s="320">
        <f t="shared" si="122"/>
        <v>0</v>
      </c>
      <c r="CY105" s="320">
        <f t="shared" si="107"/>
        <v>0</v>
      </c>
      <c r="CZ105" s="320">
        <f t="shared" si="108"/>
        <v>0</v>
      </c>
      <c r="DA105" s="17"/>
      <c r="DB105" s="17"/>
      <c r="DC105" s="17"/>
      <c r="DD105" s="31"/>
      <c r="DE105" s="323"/>
      <c r="DF105" s="323"/>
      <c r="DG105" s="323"/>
      <c r="DH105" s="323"/>
      <c r="DI105" s="323"/>
      <c r="DJ105" s="323"/>
      <c r="DK105" s="323"/>
      <c r="DL105" s="323"/>
      <c r="DM105" s="323"/>
      <c r="DN105" s="323"/>
      <c r="DO105" s="323"/>
      <c r="DP105" s="324"/>
      <c r="DQ105" s="288"/>
      <c r="DR105" s="242"/>
      <c r="DS105" s="429">
        <f t="shared" si="109"/>
        <v>0</v>
      </c>
      <c r="DT105" s="429">
        <f>SUM(BA105:BF105)/5</f>
        <v>0</v>
      </c>
      <c r="DU105" s="429"/>
      <c r="DV105" s="429"/>
      <c r="DW105" s="429"/>
      <c r="DX105" s="429"/>
      <c r="DY105" s="429"/>
      <c r="DZ105" s="134"/>
      <c r="EA105" s="134"/>
      <c r="EB105" s="134"/>
      <c r="EC105" s="134"/>
      <c r="ED105" s="123"/>
      <c r="EH105" s="46">
        <v>0</v>
      </c>
      <c r="EI105" s="45"/>
      <c r="EJ105" s="33" t="b">
        <f t="shared" si="110"/>
        <v>0</v>
      </c>
      <c r="EK105" s="42"/>
      <c r="EL105" s="42"/>
      <c r="EM105" s="42"/>
      <c r="EN105" s="439"/>
      <c r="EO105" s="439"/>
      <c r="EP105" s="439"/>
      <c r="EQ105" s="47"/>
      <c r="ER105" s="440">
        <v>1</v>
      </c>
      <c r="ES105" s="431"/>
      <c r="ET105" s="431"/>
      <c r="EU105" s="431"/>
      <c r="EV105" s="447"/>
      <c r="EZ105" s="393" t="s">
        <v>128</v>
      </c>
      <c r="FA105" s="393" t="s">
        <v>128</v>
      </c>
      <c r="FB105" s="389">
        <v>40</v>
      </c>
      <c r="FC105" s="389">
        <v>42</v>
      </c>
      <c r="FD105" s="389">
        <v>43</v>
      </c>
      <c r="FE105" s="389">
        <v>44</v>
      </c>
      <c r="FF105" s="389">
        <v>49</v>
      </c>
      <c r="FG105" s="390">
        <v>4.7619047619047615E-3</v>
      </c>
      <c r="FH105" s="390">
        <v>4.6511627906976744E-3</v>
      </c>
      <c r="FI105" s="390">
        <v>2.2727272727272728E-2</v>
      </c>
      <c r="FJ105" s="391" t="s">
        <v>1389</v>
      </c>
      <c r="FK105" s="391">
        <v>3.8863636363636367</v>
      </c>
      <c r="FL105" s="31" t="s">
        <v>1396</v>
      </c>
      <c r="FN105" s="128" t="s">
        <v>1588</v>
      </c>
      <c r="FO105" s="128" t="s">
        <v>1589</v>
      </c>
      <c r="FP105" s="128"/>
    </row>
    <row r="106" spans="1:177" ht="22" hidden="1" customHeight="1" x14ac:dyDescent="0.2">
      <c r="A106" s="13" t="s">
        <v>10</v>
      </c>
      <c r="B106" s="14" t="s">
        <v>39</v>
      </c>
      <c r="C106" s="14"/>
      <c r="D106" s="14" t="s">
        <v>1068</v>
      </c>
      <c r="E106" s="128" t="s">
        <v>129</v>
      </c>
      <c r="F106" s="15" t="s">
        <v>639</v>
      </c>
      <c r="G106" s="15" t="s">
        <v>634</v>
      </c>
      <c r="H106" s="91">
        <v>1</v>
      </c>
      <c r="I106" s="95">
        <f t="shared" si="123"/>
        <v>2</v>
      </c>
      <c r="J106" s="91"/>
      <c r="K106" s="256">
        <f t="shared" si="125"/>
        <v>3</v>
      </c>
      <c r="L106" s="101" t="s">
        <v>684</v>
      </c>
      <c r="M106" s="99">
        <v>1</v>
      </c>
      <c r="N106" s="26">
        <v>1000000</v>
      </c>
      <c r="O106" s="98" t="str">
        <f t="shared" si="119"/>
        <v>_x000D__x000D_</v>
      </c>
      <c r="P106" s="144" t="str">
        <f>CONCATENATE(V106,R106,X106)</f>
        <v xml:space="preserve">_x000D_Forestry_x000D_ Increase awareness and strengthen participation of local dwellers in forest conservation._x000D_ Protection of forest and biodiversity rich forest zones._x000D_ Increase the amount of forested land through reforestation of degraded lands._x000D__x000D_ </v>
      </c>
      <c r="Q106" s="55"/>
      <c r="R106" s="64" t="s">
        <v>918</v>
      </c>
      <c r="S106" s="425"/>
      <c r="T106" s="300" t="s">
        <v>837</v>
      </c>
      <c r="U106" s="300" t="s">
        <v>1101</v>
      </c>
      <c r="V106" s="317" t="s">
        <v>916</v>
      </c>
      <c r="W106" s="258">
        <v>1</v>
      </c>
      <c r="X106" s="307" t="s">
        <v>924</v>
      </c>
      <c r="Y106" s="274"/>
      <c r="Z106" s="426">
        <v>1</v>
      </c>
      <c r="AA106" s="320">
        <f t="shared" si="64"/>
        <v>1</v>
      </c>
      <c r="AB106" s="320">
        <f t="shared" si="72"/>
        <v>0</v>
      </c>
      <c r="AC106" s="320">
        <f t="shared" si="73"/>
        <v>0</v>
      </c>
      <c r="AD106" s="320">
        <f t="shared" si="74"/>
        <v>0</v>
      </c>
      <c r="AE106" s="320">
        <f t="shared" si="111"/>
        <v>0</v>
      </c>
      <c r="AF106" s="320">
        <f t="shared" si="75"/>
        <v>0</v>
      </c>
      <c r="AG106" s="320">
        <f t="shared" si="63"/>
        <v>0</v>
      </c>
      <c r="AH106" s="427">
        <v>1</v>
      </c>
      <c r="AI106" s="320">
        <f t="shared" si="76"/>
        <v>1</v>
      </c>
      <c r="AJ106" s="320">
        <f t="shared" si="77"/>
        <v>0</v>
      </c>
      <c r="AK106" s="320">
        <f t="shared" si="78"/>
        <v>0</v>
      </c>
      <c r="AL106" s="320">
        <f t="shared" si="79"/>
        <v>0</v>
      </c>
      <c r="AM106" s="320">
        <f t="shared" si="80"/>
        <v>0</v>
      </c>
      <c r="AN106" s="320">
        <f t="shared" si="81"/>
        <v>0</v>
      </c>
      <c r="AO106" s="427">
        <v>0</v>
      </c>
      <c r="AP106" s="320">
        <f t="shared" si="112"/>
        <v>0</v>
      </c>
      <c r="AQ106" s="320">
        <f t="shared" si="82"/>
        <v>0</v>
      </c>
      <c r="AR106" s="320">
        <f t="shared" si="83"/>
        <v>0</v>
      </c>
      <c r="AS106" s="320">
        <f t="shared" si="84"/>
        <v>0</v>
      </c>
      <c r="AT106" s="320">
        <f t="shared" si="85"/>
        <v>0</v>
      </c>
      <c r="AU106" s="320">
        <f t="shared" si="86"/>
        <v>0</v>
      </c>
      <c r="AV106" s="427">
        <v>1</v>
      </c>
      <c r="AW106" s="320">
        <f t="shared" si="87"/>
        <v>1</v>
      </c>
      <c r="AX106" s="320">
        <f t="shared" si="88"/>
        <v>0</v>
      </c>
      <c r="AY106" s="320">
        <f t="shared" si="89"/>
        <v>0</v>
      </c>
      <c r="AZ106" s="320">
        <f t="shared" si="90"/>
        <v>0</v>
      </c>
      <c r="BA106" s="17">
        <v>1</v>
      </c>
      <c r="BB106" s="17" t="s">
        <v>837</v>
      </c>
      <c r="BC106" s="17">
        <v>1</v>
      </c>
      <c r="BD106" s="17">
        <v>1</v>
      </c>
      <c r="BE106" s="17">
        <v>0</v>
      </c>
      <c r="BF106" s="17">
        <v>0</v>
      </c>
      <c r="BG106" s="428">
        <f t="shared" si="65"/>
        <v>0</v>
      </c>
      <c r="BH106" s="17">
        <v>0</v>
      </c>
      <c r="BI106" s="17">
        <v>1</v>
      </c>
      <c r="BJ106" s="17" t="s">
        <v>1172</v>
      </c>
      <c r="BK106" s="17"/>
      <c r="BL106" s="17">
        <v>1</v>
      </c>
      <c r="BM106" s="17" t="s">
        <v>1173</v>
      </c>
      <c r="BN106" s="320">
        <f t="shared" si="66"/>
        <v>1</v>
      </c>
      <c r="BO106" s="320">
        <f t="shared" si="117"/>
        <v>0</v>
      </c>
      <c r="BP106" s="427">
        <v>0</v>
      </c>
      <c r="BQ106" s="427" t="s">
        <v>834</v>
      </c>
      <c r="BR106" s="320">
        <f t="shared" si="126"/>
        <v>0</v>
      </c>
      <c r="BS106" s="320">
        <v>0</v>
      </c>
      <c r="BT106" s="427">
        <v>0</v>
      </c>
      <c r="BU106" s="320">
        <f t="shared" si="92"/>
        <v>0</v>
      </c>
      <c r="BV106" s="320">
        <f t="shared" si="93"/>
        <v>0</v>
      </c>
      <c r="BW106" s="320">
        <f t="shared" si="114"/>
        <v>0</v>
      </c>
      <c r="BX106" s="427">
        <v>1</v>
      </c>
      <c r="BY106" s="320">
        <f t="shared" si="94"/>
        <v>1</v>
      </c>
      <c r="BZ106" s="320">
        <f t="shared" si="95"/>
        <v>0</v>
      </c>
      <c r="CA106" s="320">
        <f t="shared" si="127"/>
        <v>0</v>
      </c>
      <c r="CB106" s="320">
        <f t="shared" si="97"/>
        <v>0</v>
      </c>
      <c r="CC106" s="427">
        <v>0</v>
      </c>
      <c r="CD106" s="320">
        <f t="shared" si="98"/>
        <v>0</v>
      </c>
      <c r="CE106" s="320">
        <f t="shared" si="99"/>
        <v>0</v>
      </c>
      <c r="CF106" s="320">
        <f t="shared" si="100"/>
        <v>0</v>
      </c>
      <c r="CG106" s="320">
        <f t="shared" si="101"/>
        <v>0</v>
      </c>
      <c r="CH106" s="427">
        <v>1</v>
      </c>
      <c r="CI106" s="427">
        <v>0</v>
      </c>
      <c r="CJ106" s="427">
        <v>0</v>
      </c>
      <c r="CK106" s="427">
        <v>0</v>
      </c>
      <c r="CL106" s="320">
        <f t="shared" si="116"/>
        <v>0</v>
      </c>
      <c r="CM106" s="320">
        <f t="shared" si="102"/>
        <v>0</v>
      </c>
      <c r="CN106" s="320">
        <f t="shared" si="103"/>
        <v>0</v>
      </c>
      <c r="CO106" s="320">
        <f t="shared" si="104"/>
        <v>0</v>
      </c>
      <c r="CP106" s="427">
        <v>1</v>
      </c>
      <c r="CQ106" s="427">
        <v>0</v>
      </c>
      <c r="CR106" s="320">
        <f t="shared" si="105"/>
        <v>0</v>
      </c>
      <c r="CS106" s="320">
        <f t="shared" si="115"/>
        <v>0</v>
      </c>
      <c r="CT106" s="320">
        <f t="shared" si="120"/>
        <v>0</v>
      </c>
      <c r="CU106" s="320">
        <f t="shared" si="121"/>
        <v>0</v>
      </c>
      <c r="CV106" s="427">
        <v>0</v>
      </c>
      <c r="CW106" s="17">
        <v>0</v>
      </c>
      <c r="CX106" s="320">
        <f t="shared" si="122"/>
        <v>0</v>
      </c>
      <c r="CY106" s="320">
        <f t="shared" si="107"/>
        <v>0</v>
      </c>
      <c r="CZ106" s="320">
        <f t="shared" si="108"/>
        <v>0</v>
      </c>
      <c r="DA106" s="17"/>
      <c r="DB106" s="17"/>
      <c r="DC106" s="17"/>
      <c r="DD106" s="31"/>
      <c r="DE106" s="321" t="s">
        <v>387</v>
      </c>
      <c r="DF106" s="321" t="s">
        <v>387</v>
      </c>
      <c r="DG106" s="321" t="s">
        <v>387</v>
      </c>
      <c r="DH106" s="321" t="s">
        <v>387</v>
      </c>
      <c r="DI106" s="321"/>
      <c r="DJ106" s="321" t="s">
        <v>387</v>
      </c>
      <c r="DK106" s="321">
        <v>0</v>
      </c>
      <c r="DL106" s="321">
        <v>1</v>
      </c>
      <c r="DM106" s="321">
        <v>1</v>
      </c>
      <c r="DN106" s="321">
        <v>1</v>
      </c>
      <c r="DO106" s="321">
        <v>1</v>
      </c>
      <c r="DP106" s="322">
        <v>1</v>
      </c>
      <c r="DQ106" s="291"/>
      <c r="DR106" s="239">
        <f>SUM(DS106:DX106)/6</f>
        <v>0.23516505636070859</v>
      </c>
      <c r="DS106" s="429">
        <f t="shared" si="109"/>
        <v>0.13043478260869565</v>
      </c>
      <c r="DT106" s="448">
        <f>SUM(BA106:BE106,BG106)/5</f>
        <v>0.6</v>
      </c>
      <c r="DU106" s="429">
        <f>SUM(BI106,BO106,BS106,BU106:BW106)/6</f>
        <v>0.16666666666666666</v>
      </c>
      <c r="DV106" s="429">
        <f>SUM(BY106-CB106,CD106-CG106)/8</f>
        <v>0.125</v>
      </c>
      <c r="DW106" s="429">
        <f>SUM(CH106:CJ106,CL106:CO106,BN106,BR106)/9</f>
        <v>0.22222222222222221</v>
      </c>
      <c r="DX106" s="429">
        <f>SUM(CP106,CR106:CV106)/6</f>
        <v>0.16666666666666666</v>
      </c>
      <c r="DY106" s="444"/>
      <c r="DZ106" s="134"/>
      <c r="EA106" s="134"/>
      <c r="EB106" s="134"/>
      <c r="EC106" s="134"/>
      <c r="ED106" s="123"/>
      <c r="EH106" s="51" t="s">
        <v>76</v>
      </c>
      <c r="EI106" s="50"/>
      <c r="EJ106" s="33" t="e">
        <f t="shared" si="110"/>
        <v>#VALUE!</v>
      </c>
      <c r="EK106" s="42"/>
      <c r="EL106" s="42"/>
      <c r="EM106" s="42"/>
      <c r="EN106" s="439"/>
      <c r="EO106" s="439"/>
      <c r="EP106" s="439"/>
      <c r="EQ106" s="38"/>
      <c r="ER106" s="440" t="s">
        <v>218</v>
      </c>
      <c r="ES106" s="431"/>
      <c r="ET106" s="431"/>
      <c r="EU106" s="431"/>
      <c r="EV106" s="447"/>
      <c r="EZ106" s="393" t="s">
        <v>129</v>
      </c>
      <c r="FA106" s="393" t="s">
        <v>129</v>
      </c>
      <c r="FB106" s="389">
        <v>4929</v>
      </c>
      <c r="FC106" s="389">
        <v>4629</v>
      </c>
      <c r="FD106" s="389">
        <v>4479</v>
      </c>
      <c r="FE106" s="389">
        <v>4329</v>
      </c>
      <c r="FF106" s="389">
        <v>4179</v>
      </c>
      <c r="FG106" s="390">
        <v>-6.4808813998703824E-3</v>
      </c>
      <c r="FH106" s="390">
        <v>-6.697923643670463E-3</v>
      </c>
      <c r="FI106" s="390">
        <v>-6.9300069300069298E-3</v>
      </c>
      <c r="FJ106" s="391">
        <v>3.4650034650034488E-2</v>
      </c>
      <c r="FK106" s="391" t="s">
        <v>1386</v>
      </c>
      <c r="FL106" s="31" t="s">
        <v>1379</v>
      </c>
      <c r="FN106" s="128" t="s">
        <v>1590</v>
      </c>
      <c r="FO106" s="128" t="s">
        <v>1591</v>
      </c>
      <c r="FP106" s="128"/>
    </row>
    <row r="107" spans="1:177" ht="22" customHeight="1" x14ac:dyDescent="0.2">
      <c r="A107" s="13" t="s">
        <v>10</v>
      </c>
      <c r="B107" s="14" t="s">
        <v>11</v>
      </c>
      <c r="C107" s="14"/>
      <c r="D107" s="14"/>
      <c r="E107" s="215" t="s">
        <v>1321</v>
      </c>
      <c r="F107" s="15" t="s">
        <v>1355</v>
      </c>
      <c r="G107" s="15" t="s">
        <v>634</v>
      </c>
      <c r="H107" s="91">
        <f t="shared" ref="H107:H114" si="128">IF(G107="YES",0,1)</f>
        <v>1</v>
      </c>
      <c r="I107" s="95">
        <f t="shared" si="123"/>
        <v>0</v>
      </c>
      <c r="J107" s="91"/>
      <c r="K107" s="256">
        <f t="shared" si="125"/>
        <v>1</v>
      </c>
      <c r="L107" s="257">
        <v>0</v>
      </c>
      <c r="M107" s="154"/>
      <c r="N107" s="155">
        <v>0</v>
      </c>
      <c r="O107" s="158" t="str">
        <f t="shared" si="119"/>
        <v>N/A or not found_x000D__x000D_</v>
      </c>
      <c r="P107" s="98" t="str">
        <f>CONCATENATE(V107,R107,X107)</f>
        <v>N/A or not found_x000D__x000D_</v>
      </c>
      <c r="Q107" s="360" t="s">
        <v>925</v>
      </c>
      <c r="R107" s="64" t="s">
        <v>918</v>
      </c>
      <c r="S107" s="432"/>
      <c r="T107" s="300" t="s">
        <v>925</v>
      </c>
      <c r="U107" s="300" t="s">
        <v>925</v>
      </c>
      <c r="V107" s="300" t="s">
        <v>925</v>
      </c>
      <c r="W107" s="258"/>
      <c r="X107" s="306" t="s">
        <v>834</v>
      </c>
      <c r="Y107" s="295"/>
      <c r="Z107" s="426"/>
      <c r="AA107" s="320">
        <f t="shared" si="64"/>
        <v>0</v>
      </c>
      <c r="AB107" s="320">
        <f t="shared" si="72"/>
        <v>0</v>
      </c>
      <c r="AC107" s="320">
        <f t="shared" si="73"/>
        <v>0</v>
      </c>
      <c r="AD107" s="320">
        <f t="shared" si="74"/>
        <v>0</v>
      </c>
      <c r="AE107" s="320">
        <f t="shared" si="111"/>
        <v>0</v>
      </c>
      <c r="AF107" s="320">
        <f t="shared" si="75"/>
        <v>0</v>
      </c>
      <c r="AG107" s="320">
        <f t="shared" si="63"/>
        <v>0</v>
      </c>
      <c r="AH107" s="427"/>
      <c r="AI107" s="320">
        <f t="shared" si="76"/>
        <v>0</v>
      </c>
      <c r="AJ107" s="320">
        <f t="shared" si="77"/>
        <v>0</v>
      </c>
      <c r="AK107" s="320">
        <f t="shared" si="78"/>
        <v>0</v>
      </c>
      <c r="AL107" s="320">
        <f t="shared" si="79"/>
        <v>0</v>
      </c>
      <c r="AM107" s="320">
        <f t="shared" si="80"/>
        <v>0</v>
      </c>
      <c r="AN107" s="320">
        <f t="shared" si="81"/>
        <v>0</v>
      </c>
      <c r="AO107" s="427"/>
      <c r="AP107" s="320">
        <f t="shared" si="112"/>
        <v>0</v>
      </c>
      <c r="AQ107" s="320">
        <f t="shared" si="82"/>
        <v>0</v>
      </c>
      <c r="AR107" s="320">
        <f t="shared" si="83"/>
        <v>0</v>
      </c>
      <c r="AS107" s="320">
        <f t="shared" si="84"/>
        <v>0</v>
      </c>
      <c r="AT107" s="320">
        <f t="shared" si="85"/>
        <v>0</v>
      </c>
      <c r="AU107" s="320">
        <f t="shared" si="86"/>
        <v>0</v>
      </c>
      <c r="AV107" s="427"/>
      <c r="AW107" s="320">
        <f t="shared" si="87"/>
        <v>0</v>
      </c>
      <c r="AX107" s="320">
        <f t="shared" si="88"/>
        <v>0</v>
      </c>
      <c r="AY107" s="320">
        <f t="shared" si="89"/>
        <v>0</v>
      </c>
      <c r="AZ107" s="320">
        <f t="shared" si="90"/>
        <v>0</v>
      </c>
      <c r="BA107" s="17"/>
      <c r="BB107" s="17" t="s">
        <v>834</v>
      </c>
      <c r="BC107" s="17"/>
      <c r="BD107" s="17"/>
      <c r="BE107" s="17"/>
      <c r="BF107" s="17"/>
      <c r="BG107" s="428">
        <f t="shared" si="65"/>
        <v>0</v>
      </c>
      <c r="BH107" s="17"/>
      <c r="BI107" s="17"/>
      <c r="BJ107" s="17" t="s">
        <v>834</v>
      </c>
      <c r="BK107" s="17"/>
      <c r="BL107" s="17"/>
      <c r="BM107" s="17"/>
      <c r="BN107" s="320">
        <f t="shared" si="66"/>
        <v>0</v>
      </c>
      <c r="BO107" s="320">
        <f t="shared" si="117"/>
        <v>0</v>
      </c>
      <c r="BP107" s="427"/>
      <c r="BQ107" s="427"/>
      <c r="BR107" s="320">
        <f t="shared" si="126"/>
        <v>0</v>
      </c>
      <c r="BS107" s="320">
        <f t="shared" si="126"/>
        <v>0</v>
      </c>
      <c r="BT107" s="427"/>
      <c r="BU107" s="320">
        <f t="shared" si="92"/>
        <v>0</v>
      </c>
      <c r="BV107" s="320">
        <f t="shared" si="93"/>
        <v>0</v>
      </c>
      <c r="BW107" s="320">
        <f t="shared" si="114"/>
        <v>0</v>
      </c>
      <c r="BX107" s="427"/>
      <c r="BY107" s="320">
        <f t="shared" si="94"/>
        <v>0</v>
      </c>
      <c r="BZ107" s="320">
        <f t="shared" si="95"/>
        <v>0</v>
      </c>
      <c r="CA107" s="320">
        <f t="shared" si="127"/>
        <v>0</v>
      </c>
      <c r="CB107" s="320">
        <f t="shared" si="97"/>
        <v>0</v>
      </c>
      <c r="CC107" s="427"/>
      <c r="CD107" s="320">
        <f t="shared" si="98"/>
        <v>0</v>
      </c>
      <c r="CE107" s="320">
        <f t="shared" si="99"/>
        <v>0</v>
      </c>
      <c r="CF107" s="320">
        <f t="shared" si="100"/>
        <v>0</v>
      </c>
      <c r="CG107" s="320">
        <f t="shared" si="101"/>
        <v>0</v>
      </c>
      <c r="CH107" s="427"/>
      <c r="CI107" s="427"/>
      <c r="CJ107" s="427"/>
      <c r="CK107" s="427"/>
      <c r="CL107" s="320">
        <f t="shared" si="116"/>
        <v>0</v>
      </c>
      <c r="CM107" s="320">
        <f t="shared" si="102"/>
        <v>0</v>
      </c>
      <c r="CN107" s="320">
        <f t="shared" si="103"/>
        <v>0</v>
      </c>
      <c r="CO107" s="320">
        <f t="shared" si="104"/>
        <v>0</v>
      </c>
      <c r="CP107" s="427"/>
      <c r="CQ107" s="427"/>
      <c r="CR107" s="320">
        <f t="shared" si="105"/>
        <v>0</v>
      </c>
      <c r="CS107" s="320">
        <f t="shared" si="115"/>
        <v>0</v>
      </c>
      <c r="CT107" s="320">
        <f t="shared" si="120"/>
        <v>0</v>
      </c>
      <c r="CU107" s="320">
        <f t="shared" si="121"/>
        <v>0</v>
      </c>
      <c r="CV107" s="427"/>
      <c r="CW107" s="17"/>
      <c r="CX107" s="320">
        <f t="shared" si="122"/>
        <v>0</v>
      </c>
      <c r="CY107" s="320">
        <f t="shared" si="107"/>
        <v>0</v>
      </c>
      <c r="CZ107" s="320">
        <f t="shared" si="108"/>
        <v>0</v>
      </c>
      <c r="DA107" s="17"/>
      <c r="DB107" s="17"/>
      <c r="DC107" s="17">
        <v>0</v>
      </c>
      <c r="DD107" s="31"/>
      <c r="DE107" s="352" t="s">
        <v>388</v>
      </c>
      <c r="DF107" s="352" t="s">
        <v>388</v>
      </c>
      <c r="DG107" s="352" t="s">
        <v>388</v>
      </c>
      <c r="DH107" s="352" t="s">
        <v>388</v>
      </c>
      <c r="DI107" s="346" t="s">
        <v>388</v>
      </c>
      <c r="DJ107" s="352" t="s">
        <v>388</v>
      </c>
      <c r="DK107" s="352" t="s">
        <v>388</v>
      </c>
      <c r="DL107" s="352" t="s">
        <v>388</v>
      </c>
      <c r="DM107" s="352" t="s">
        <v>388</v>
      </c>
      <c r="DN107" s="352" t="s">
        <v>388</v>
      </c>
      <c r="DO107" s="352" t="s">
        <v>388</v>
      </c>
      <c r="DP107" s="353">
        <v>1</v>
      </c>
      <c r="DQ107" s="381"/>
      <c r="DR107" s="239">
        <f>SUM(DS107:DX107)/6</f>
        <v>0</v>
      </c>
      <c r="DS107" s="429">
        <f t="shared" si="109"/>
        <v>0</v>
      </c>
      <c r="DT107" s="429">
        <f>SUM(BA107:BE107,BG107)/5</f>
        <v>0</v>
      </c>
      <c r="DU107" s="429">
        <f>SUM(BI107,BO107,BS107,BU107:BW107)/6</f>
        <v>0</v>
      </c>
      <c r="DV107" s="429">
        <f>SUM(BY107-CB107,CD107-CG107)/8</f>
        <v>0</v>
      </c>
      <c r="DW107" s="429">
        <f>SUM(CH107:CJ107,CL107:CO107,BN107,BR107)/9</f>
        <v>0</v>
      </c>
      <c r="DX107" s="429">
        <f>SUM(CP107,CR107:CV107)/6</f>
        <v>0</v>
      </c>
      <c r="DY107" s="474"/>
      <c r="DZ107" s="196"/>
      <c r="EA107" s="196"/>
      <c r="EB107" s="196"/>
      <c r="EC107" s="196"/>
      <c r="ED107" s="197"/>
      <c r="EH107" s="184">
        <v>0</v>
      </c>
      <c r="EI107" s="185"/>
      <c r="EJ107" s="185" t="b">
        <f t="shared" si="110"/>
        <v>0</v>
      </c>
      <c r="EK107" s="186"/>
      <c r="EL107" s="186"/>
      <c r="EM107" s="186"/>
      <c r="EN107" s="186"/>
      <c r="EO107" s="186"/>
      <c r="EP107" s="186"/>
      <c r="EQ107" s="187"/>
      <c r="ER107" s="475"/>
      <c r="ES107" s="476"/>
      <c r="ET107" s="476"/>
      <c r="EU107" s="476"/>
      <c r="EV107" s="477"/>
      <c r="EZ107" s="393" t="s">
        <v>1321</v>
      </c>
      <c r="FA107" s="393" t="s">
        <v>1321</v>
      </c>
      <c r="FB107" s="389">
        <v>217</v>
      </c>
      <c r="FC107" s="389">
        <v>217</v>
      </c>
      <c r="FD107" s="389">
        <v>217</v>
      </c>
      <c r="FE107" s="389">
        <v>217</v>
      </c>
      <c r="FF107" s="389">
        <v>217</v>
      </c>
      <c r="FG107" s="390">
        <v>0</v>
      </c>
      <c r="FH107" s="390">
        <v>0</v>
      </c>
      <c r="FI107" s="390">
        <v>0</v>
      </c>
      <c r="FJ107" s="391">
        <v>0</v>
      </c>
      <c r="FK107" s="391" t="s">
        <v>1386</v>
      </c>
      <c r="FL107" s="31" t="s">
        <v>1387</v>
      </c>
      <c r="FN107" s="215" t="s">
        <v>1592</v>
      </c>
      <c r="FO107" s="215" t="s">
        <v>1593</v>
      </c>
      <c r="FP107" s="215" t="s">
        <v>1345</v>
      </c>
      <c r="FR107" s="402">
        <v>1</v>
      </c>
      <c r="FS107" s="402">
        <v>0</v>
      </c>
      <c r="FT107" s="402">
        <v>0</v>
      </c>
      <c r="FU107" s="402">
        <v>1</v>
      </c>
    </row>
    <row r="108" spans="1:177" ht="22" hidden="1" customHeight="1" x14ac:dyDescent="0.2">
      <c r="A108" s="13" t="s">
        <v>7</v>
      </c>
      <c r="B108" s="14" t="s">
        <v>27</v>
      </c>
      <c r="C108" s="14"/>
      <c r="D108" s="14"/>
      <c r="E108" s="128" t="s">
        <v>130</v>
      </c>
      <c r="F108" s="15"/>
      <c r="G108" s="15" t="s">
        <v>635</v>
      </c>
      <c r="H108" s="91">
        <f t="shared" si="128"/>
        <v>0</v>
      </c>
      <c r="I108" s="95">
        <f t="shared" si="123"/>
        <v>0</v>
      </c>
      <c r="J108" s="91"/>
      <c r="K108" s="256">
        <f t="shared" si="125"/>
        <v>0</v>
      </c>
      <c r="L108" s="101">
        <v>0</v>
      </c>
      <c r="M108" s="99"/>
      <c r="N108" s="89"/>
      <c r="O108" s="98" t="str">
        <f t="shared" si="119"/>
        <v>_x000D__x000D_</v>
      </c>
      <c r="P108" s="98"/>
      <c r="Q108" s="55"/>
      <c r="R108" s="64" t="s">
        <v>918</v>
      </c>
      <c r="S108" s="425"/>
      <c r="T108" s="300" t="s">
        <v>839</v>
      </c>
      <c r="U108" s="300" t="s">
        <v>834</v>
      </c>
      <c r="V108" s="300" t="s">
        <v>834</v>
      </c>
      <c r="W108" s="258"/>
      <c r="X108" s="307" t="s">
        <v>834</v>
      </c>
      <c r="Y108" s="274"/>
      <c r="Z108" s="426"/>
      <c r="AA108" s="320">
        <f t="shared" si="64"/>
        <v>0</v>
      </c>
      <c r="AB108" s="320">
        <f t="shared" si="72"/>
        <v>0</v>
      </c>
      <c r="AC108" s="320">
        <f t="shared" si="73"/>
        <v>0</v>
      </c>
      <c r="AD108" s="320">
        <f t="shared" si="74"/>
        <v>0</v>
      </c>
      <c r="AE108" s="320">
        <f t="shared" si="111"/>
        <v>0</v>
      </c>
      <c r="AF108" s="320">
        <f t="shared" si="75"/>
        <v>0</v>
      </c>
      <c r="AG108" s="320">
        <f t="shared" si="63"/>
        <v>0</v>
      </c>
      <c r="AH108" s="427"/>
      <c r="AI108" s="320">
        <f t="shared" si="76"/>
        <v>0</v>
      </c>
      <c r="AJ108" s="320">
        <f t="shared" si="77"/>
        <v>0</v>
      </c>
      <c r="AK108" s="320">
        <f t="shared" si="78"/>
        <v>0</v>
      </c>
      <c r="AL108" s="320">
        <f t="shared" si="79"/>
        <v>0</v>
      </c>
      <c r="AM108" s="320">
        <f t="shared" si="80"/>
        <v>0</v>
      </c>
      <c r="AN108" s="320">
        <f t="shared" si="81"/>
        <v>0</v>
      </c>
      <c r="AO108" s="427"/>
      <c r="AP108" s="320">
        <f t="shared" si="112"/>
        <v>0</v>
      </c>
      <c r="AQ108" s="320">
        <f t="shared" si="82"/>
        <v>0</v>
      </c>
      <c r="AR108" s="320">
        <f t="shared" si="83"/>
        <v>0</v>
      </c>
      <c r="AS108" s="320">
        <f t="shared" si="84"/>
        <v>0</v>
      </c>
      <c r="AT108" s="320">
        <f t="shared" si="85"/>
        <v>0</v>
      </c>
      <c r="AU108" s="320">
        <f t="shared" si="86"/>
        <v>0</v>
      </c>
      <c r="AV108" s="427"/>
      <c r="AW108" s="320">
        <f t="shared" si="87"/>
        <v>0</v>
      </c>
      <c r="AX108" s="320">
        <f t="shared" si="88"/>
        <v>0</v>
      </c>
      <c r="AY108" s="320">
        <f t="shared" si="89"/>
        <v>0</v>
      </c>
      <c r="AZ108" s="320">
        <f t="shared" si="90"/>
        <v>0</v>
      </c>
      <c r="BA108" s="17">
        <v>0</v>
      </c>
      <c r="BB108" s="17" t="s">
        <v>839</v>
      </c>
      <c r="BC108" s="17"/>
      <c r="BD108" s="17"/>
      <c r="BE108" s="17"/>
      <c r="BF108" s="17"/>
      <c r="BG108" s="428">
        <f t="shared" si="65"/>
        <v>0</v>
      </c>
      <c r="BH108" s="17"/>
      <c r="BI108" s="17"/>
      <c r="BJ108" s="17"/>
      <c r="BK108" s="17"/>
      <c r="BL108" s="17"/>
      <c r="BM108" s="17"/>
      <c r="BN108" s="320">
        <f t="shared" si="66"/>
        <v>0</v>
      </c>
      <c r="BO108" s="320">
        <f t="shared" si="117"/>
        <v>0</v>
      </c>
      <c r="BP108" s="427"/>
      <c r="BQ108" s="427"/>
      <c r="BR108" s="320">
        <f t="shared" si="126"/>
        <v>0</v>
      </c>
      <c r="BS108" s="320">
        <f t="shared" si="126"/>
        <v>0</v>
      </c>
      <c r="BT108" s="427"/>
      <c r="BU108" s="320">
        <f t="shared" si="92"/>
        <v>0</v>
      </c>
      <c r="BV108" s="320">
        <f t="shared" si="93"/>
        <v>0</v>
      </c>
      <c r="BW108" s="320">
        <f t="shared" si="114"/>
        <v>0</v>
      </c>
      <c r="BX108" s="427"/>
      <c r="BY108" s="320">
        <f t="shared" si="94"/>
        <v>0</v>
      </c>
      <c r="BZ108" s="320">
        <f t="shared" si="95"/>
        <v>0</v>
      </c>
      <c r="CA108" s="320">
        <f t="shared" si="127"/>
        <v>0</v>
      </c>
      <c r="CB108" s="320">
        <f t="shared" si="97"/>
        <v>0</v>
      </c>
      <c r="CC108" s="427"/>
      <c r="CD108" s="320">
        <f t="shared" si="98"/>
        <v>0</v>
      </c>
      <c r="CE108" s="320">
        <f t="shared" si="99"/>
        <v>0</v>
      </c>
      <c r="CF108" s="320">
        <f t="shared" si="100"/>
        <v>0</v>
      </c>
      <c r="CG108" s="320">
        <f t="shared" si="101"/>
        <v>0</v>
      </c>
      <c r="CH108" s="427"/>
      <c r="CI108" s="427"/>
      <c r="CJ108" s="427"/>
      <c r="CK108" s="427"/>
      <c r="CL108" s="320">
        <f t="shared" si="116"/>
        <v>0</v>
      </c>
      <c r="CM108" s="320">
        <f t="shared" si="102"/>
        <v>0</v>
      </c>
      <c r="CN108" s="320">
        <f t="shared" si="103"/>
        <v>0</v>
      </c>
      <c r="CO108" s="320">
        <f t="shared" si="104"/>
        <v>0</v>
      </c>
      <c r="CP108" s="427"/>
      <c r="CQ108" s="427"/>
      <c r="CR108" s="320">
        <f t="shared" si="105"/>
        <v>0</v>
      </c>
      <c r="CS108" s="320">
        <f t="shared" si="115"/>
        <v>0</v>
      </c>
      <c r="CT108" s="320">
        <f t="shared" si="120"/>
        <v>0</v>
      </c>
      <c r="CU108" s="320">
        <f t="shared" si="121"/>
        <v>0</v>
      </c>
      <c r="CV108" s="427"/>
      <c r="CW108" s="17"/>
      <c r="CX108" s="320">
        <f t="shared" si="122"/>
        <v>0</v>
      </c>
      <c r="CY108" s="320">
        <f t="shared" si="107"/>
        <v>0</v>
      </c>
      <c r="CZ108" s="320">
        <f t="shared" si="108"/>
        <v>0</v>
      </c>
      <c r="DA108" s="17"/>
      <c r="DB108" s="17"/>
      <c r="DC108" s="17"/>
      <c r="DD108" s="31"/>
      <c r="DE108" s="321"/>
      <c r="DF108" s="321"/>
      <c r="DG108" s="321"/>
      <c r="DH108" s="321"/>
      <c r="DI108" s="321"/>
      <c r="DJ108" s="321"/>
      <c r="DK108" s="321"/>
      <c r="DL108" s="321"/>
      <c r="DM108" s="321"/>
      <c r="DN108" s="321"/>
      <c r="DO108" s="321"/>
      <c r="DP108" s="322"/>
      <c r="DQ108" s="288"/>
      <c r="DR108" s="241"/>
      <c r="DS108" s="429">
        <f t="shared" si="109"/>
        <v>0</v>
      </c>
      <c r="DT108" s="429"/>
      <c r="DU108" s="429"/>
      <c r="DV108" s="429"/>
      <c r="DW108" s="429"/>
      <c r="DX108" s="429"/>
      <c r="DY108" s="429"/>
      <c r="DZ108" s="134"/>
      <c r="EA108" s="134"/>
      <c r="EB108" s="134"/>
      <c r="EC108" s="134"/>
      <c r="ED108" s="123"/>
      <c r="EH108" s="44"/>
      <c r="EI108" s="45"/>
      <c r="EJ108" s="33" t="b">
        <f t="shared" si="110"/>
        <v>0</v>
      </c>
      <c r="EK108" s="42"/>
      <c r="EL108" s="42"/>
      <c r="EM108" s="42"/>
      <c r="EN108" s="439"/>
      <c r="EO108" s="439"/>
      <c r="EP108" s="439"/>
      <c r="EQ108" s="38"/>
      <c r="ER108" s="440"/>
      <c r="ES108" s="431"/>
      <c r="ET108" s="431"/>
      <c r="EU108" s="431"/>
      <c r="EV108" s="447"/>
      <c r="EZ108" s="393" t="s">
        <v>130</v>
      </c>
      <c r="FA108" s="393" t="s">
        <v>130</v>
      </c>
      <c r="FB108" s="389">
        <v>6.5</v>
      </c>
      <c r="FC108" s="389">
        <v>6.9</v>
      </c>
      <c r="FD108" s="389">
        <v>6.9</v>
      </c>
      <c r="FE108" s="389">
        <v>6.9</v>
      </c>
      <c r="FF108" s="389">
        <v>6.9</v>
      </c>
      <c r="FG108" s="390">
        <v>0</v>
      </c>
      <c r="FH108" s="390">
        <v>0</v>
      </c>
      <c r="FI108" s="390">
        <v>0</v>
      </c>
      <c r="FJ108" s="391">
        <v>0</v>
      </c>
      <c r="FK108" s="391" t="s">
        <v>1386</v>
      </c>
      <c r="FL108" s="31" t="s">
        <v>1387</v>
      </c>
      <c r="FN108" s="128" t="s">
        <v>1594</v>
      </c>
      <c r="FO108" s="128" t="s">
        <v>1595</v>
      </c>
      <c r="FP108" s="128"/>
    </row>
    <row r="109" spans="1:177" ht="22" hidden="1" customHeight="1" x14ac:dyDescent="0.2">
      <c r="A109" s="13" t="s">
        <v>7</v>
      </c>
      <c r="B109" s="14" t="s">
        <v>77</v>
      </c>
      <c r="C109" s="14"/>
      <c r="D109" s="14"/>
      <c r="E109" s="128" t="s">
        <v>131</v>
      </c>
      <c r="F109" s="15"/>
      <c r="G109" s="15" t="s">
        <v>634</v>
      </c>
      <c r="H109" s="91">
        <f t="shared" si="128"/>
        <v>1</v>
      </c>
      <c r="I109" s="95">
        <f t="shared" si="123"/>
        <v>2</v>
      </c>
      <c r="J109" s="91"/>
      <c r="K109" s="256">
        <f t="shared" si="125"/>
        <v>3</v>
      </c>
      <c r="L109" s="101" t="s">
        <v>678</v>
      </c>
      <c r="M109" s="99">
        <v>1</v>
      </c>
      <c r="N109" s="89"/>
      <c r="O109" s="98" t="str">
        <f t="shared" si="119"/>
        <v>_x000D__x000D_</v>
      </c>
      <c r="P109" s="98"/>
      <c r="Q109" s="55"/>
      <c r="R109" s="64" t="s">
        <v>918</v>
      </c>
      <c r="S109" s="425"/>
      <c r="T109" s="300" t="s">
        <v>834</v>
      </c>
      <c r="U109" s="300" t="s">
        <v>834</v>
      </c>
      <c r="V109" s="300" t="s">
        <v>834</v>
      </c>
      <c r="W109" s="258"/>
      <c r="X109" s="307" t="s">
        <v>834</v>
      </c>
      <c r="Y109" s="274"/>
      <c r="Z109" s="426"/>
      <c r="AA109" s="320">
        <f t="shared" si="64"/>
        <v>0</v>
      </c>
      <c r="AB109" s="320">
        <f t="shared" si="72"/>
        <v>0</v>
      </c>
      <c r="AC109" s="320">
        <f t="shared" si="73"/>
        <v>0</v>
      </c>
      <c r="AD109" s="320">
        <f t="shared" si="74"/>
        <v>0</v>
      </c>
      <c r="AE109" s="320">
        <f t="shared" si="111"/>
        <v>0</v>
      </c>
      <c r="AF109" s="320">
        <f t="shared" si="75"/>
        <v>0</v>
      </c>
      <c r="AG109" s="320">
        <f t="shared" si="63"/>
        <v>0</v>
      </c>
      <c r="AH109" s="427"/>
      <c r="AI109" s="320">
        <f t="shared" si="76"/>
        <v>0</v>
      </c>
      <c r="AJ109" s="320">
        <f t="shared" si="77"/>
        <v>0</v>
      </c>
      <c r="AK109" s="320">
        <f t="shared" si="78"/>
        <v>0</v>
      </c>
      <c r="AL109" s="320">
        <f t="shared" si="79"/>
        <v>0</v>
      </c>
      <c r="AM109" s="320">
        <f t="shared" si="80"/>
        <v>0</v>
      </c>
      <c r="AN109" s="320">
        <f t="shared" si="81"/>
        <v>0</v>
      </c>
      <c r="AO109" s="427"/>
      <c r="AP109" s="320">
        <f t="shared" si="112"/>
        <v>0</v>
      </c>
      <c r="AQ109" s="320">
        <f t="shared" si="82"/>
        <v>0</v>
      </c>
      <c r="AR109" s="320">
        <f t="shared" si="83"/>
        <v>0</v>
      </c>
      <c r="AS109" s="320">
        <f t="shared" si="84"/>
        <v>0</v>
      </c>
      <c r="AT109" s="320">
        <f t="shared" si="85"/>
        <v>0</v>
      </c>
      <c r="AU109" s="320">
        <f t="shared" si="86"/>
        <v>0</v>
      </c>
      <c r="AV109" s="427"/>
      <c r="AW109" s="320">
        <f t="shared" si="87"/>
        <v>0</v>
      </c>
      <c r="AX109" s="320">
        <f t="shared" si="88"/>
        <v>0</v>
      </c>
      <c r="AY109" s="320">
        <f t="shared" si="89"/>
        <v>0</v>
      </c>
      <c r="AZ109" s="320">
        <f t="shared" si="90"/>
        <v>0</v>
      </c>
      <c r="BA109" s="17"/>
      <c r="BB109" s="17" t="s">
        <v>834</v>
      </c>
      <c r="BC109" s="17"/>
      <c r="BD109" s="17"/>
      <c r="BE109" s="17"/>
      <c r="BF109" s="17"/>
      <c r="BG109" s="428">
        <f t="shared" si="65"/>
        <v>0</v>
      </c>
      <c r="BH109" s="17"/>
      <c r="BI109" s="17"/>
      <c r="BJ109" s="17"/>
      <c r="BK109" s="17"/>
      <c r="BL109" s="17"/>
      <c r="BM109" s="17"/>
      <c r="BN109" s="320">
        <f t="shared" si="66"/>
        <v>0</v>
      </c>
      <c r="BO109" s="320">
        <f t="shared" si="117"/>
        <v>0</v>
      </c>
      <c r="BP109" s="427"/>
      <c r="BQ109" s="427"/>
      <c r="BR109" s="320">
        <f t="shared" si="126"/>
        <v>0</v>
      </c>
      <c r="BS109" s="320">
        <f t="shared" si="126"/>
        <v>0</v>
      </c>
      <c r="BT109" s="427"/>
      <c r="BU109" s="320">
        <f t="shared" si="92"/>
        <v>0</v>
      </c>
      <c r="BV109" s="320">
        <f t="shared" si="93"/>
        <v>0</v>
      </c>
      <c r="BW109" s="320">
        <f t="shared" si="114"/>
        <v>0</v>
      </c>
      <c r="BX109" s="427"/>
      <c r="BY109" s="320">
        <f t="shared" si="94"/>
        <v>0</v>
      </c>
      <c r="BZ109" s="320">
        <f t="shared" si="95"/>
        <v>0</v>
      </c>
      <c r="CA109" s="320">
        <f t="shared" si="127"/>
        <v>0</v>
      </c>
      <c r="CB109" s="320">
        <f t="shared" si="97"/>
        <v>0</v>
      </c>
      <c r="CC109" s="427"/>
      <c r="CD109" s="320">
        <f t="shared" si="98"/>
        <v>0</v>
      </c>
      <c r="CE109" s="320">
        <f t="shared" si="99"/>
        <v>0</v>
      </c>
      <c r="CF109" s="320">
        <f t="shared" si="100"/>
        <v>0</v>
      </c>
      <c r="CG109" s="320">
        <f t="shared" si="101"/>
        <v>0</v>
      </c>
      <c r="CH109" s="427"/>
      <c r="CI109" s="427"/>
      <c r="CJ109" s="427"/>
      <c r="CK109" s="427"/>
      <c r="CL109" s="320">
        <f t="shared" si="116"/>
        <v>0</v>
      </c>
      <c r="CM109" s="320">
        <f t="shared" si="102"/>
        <v>0</v>
      </c>
      <c r="CN109" s="320">
        <f t="shared" si="103"/>
        <v>0</v>
      </c>
      <c r="CO109" s="320">
        <f t="shared" si="104"/>
        <v>0</v>
      </c>
      <c r="CP109" s="427"/>
      <c r="CQ109" s="427"/>
      <c r="CR109" s="320">
        <f t="shared" si="105"/>
        <v>0</v>
      </c>
      <c r="CS109" s="320">
        <f t="shared" si="115"/>
        <v>0</v>
      </c>
      <c r="CT109" s="320">
        <f t="shared" si="120"/>
        <v>0</v>
      </c>
      <c r="CU109" s="320">
        <f t="shared" si="121"/>
        <v>0</v>
      </c>
      <c r="CV109" s="427"/>
      <c r="CW109" s="17"/>
      <c r="CX109" s="320">
        <f t="shared" si="122"/>
        <v>0</v>
      </c>
      <c r="CY109" s="320">
        <f t="shared" si="107"/>
        <v>0</v>
      </c>
      <c r="CZ109" s="320">
        <f t="shared" si="108"/>
        <v>0</v>
      </c>
      <c r="DA109" s="17"/>
      <c r="DB109" s="17"/>
      <c r="DC109" s="17"/>
      <c r="DD109" s="31"/>
      <c r="DE109" s="323"/>
      <c r="DF109" s="323"/>
      <c r="DG109" s="323"/>
      <c r="DH109" s="323"/>
      <c r="DI109" s="323"/>
      <c r="DJ109" s="323"/>
      <c r="DK109" s="323"/>
      <c r="DL109" s="323"/>
      <c r="DM109" s="323"/>
      <c r="DN109" s="323"/>
      <c r="DO109" s="323"/>
      <c r="DP109" s="324"/>
      <c r="DQ109" s="288"/>
      <c r="DR109" s="242"/>
      <c r="DS109" s="429">
        <f t="shared" si="109"/>
        <v>0</v>
      </c>
      <c r="DT109" s="429">
        <f>SUM(BA109:BF109)/5</f>
        <v>0</v>
      </c>
      <c r="DU109" s="429"/>
      <c r="DV109" s="429"/>
      <c r="DW109" s="429"/>
      <c r="DX109" s="429"/>
      <c r="DY109" s="429"/>
      <c r="DZ109" s="134"/>
      <c r="EA109" s="134"/>
      <c r="EB109" s="134"/>
      <c r="EC109" s="134"/>
      <c r="ED109" s="123"/>
      <c r="EH109" s="46">
        <v>0</v>
      </c>
      <c r="EI109" s="45"/>
      <c r="EJ109" s="33" t="e">
        <f t="shared" si="110"/>
        <v>#VALUE!</v>
      </c>
      <c r="EK109" s="42"/>
      <c r="EL109" s="42"/>
      <c r="EM109" s="42"/>
      <c r="EN109" s="439"/>
      <c r="EO109" s="439"/>
      <c r="EP109" s="439"/>
      <c r="EQ109" s="47"/>
      <c r="ER109" s="440">
        <v>1</v>
      </c>
      <c r="ES109" s="431"/>
      <c r="ET109" s="431" t="s">
        <v>250</v>
      </c>
      <c r="EU109" s="431"/>
      <c r="EV109" s="447"/>
      <c r="EZ109" s="393" t="s">
        <v>131</v>
      </c>
      <c r="FA109" s="393" t="s">
        <v>131</v>
      </c>
      <c r="FB109" s="389">
        <v>1945</v>
      </c>
      <c r="FC109" s="389">
        <v>0</v>
      </c>
      <c r="FD109" s="389">
        <v>2121</v>
      </c>
      <c r="FE109" s="389">
        <v>2170</v>
      </c>
      <c r="FF109" s="389">
        <v>2180</v>
      </c>
      <c r="FG109" s="390" t="s">
        <v>1375</v>
      </c>
      <c r="FH109" s="390">
        <v>4.6204620462046205E-3</v>
      </c>
      <c r="FI109" s="390">
        <v>9.2165898617511521E-4</v>
      </c>
      <c r="FJ109" s="391" t="s">
        <v>1389</v>
      </c>
      <c r="FK109" s="391">
        <v>-0.80052666227781433</v>
      </c>
      <c r="FL109" s="31" t="s">
        <v>1394</v>
      </c>
      <c r="FN109" s="128" t="s">
        <v>1596</v>
      </c>
      <c r="FO109" s="128" t="s">
        <v>1597</v>
      </c>
      <c r="FP109" s="128"/>
    </row>
    <row r="110" spans="1:177" ht="22" hidden="1" customHeight="1" x14ac:dyDescent="0.2">
      <c r="A110" s="13" t="s">
        <v>7</v>
      </c>
      <c r="B110" s="14" t="s">
        <v>27</v>
      </c>
      <c r="C110" s="9" t="s">
        <v>1037</v>
      </c>
      <c r="D110" s="14"/>
      <c r="E110" s="128" t="s">
        <v>132</v>
      </c>
      <c r="F110" s="15"/>
      <c r="G110" s="15" t="s">
        <v>634</v>
      </c>
      <c r="H110" s="95">
        <f t="shared" si="128"/>
        <v>1</v>
      </c>
      <c r="I110" s="95">
        <f t="shared" si="123"/>
        <v>0</v>
      </c>
      <c r="J110" s="95"/>
      <c r="K110" s="256">
        <f t="shared" si="125"/>
        <v>1</v>
      </c>
      <c r="L110" s="278">
        <v>0</v>
      </c>
      <c r="M110" s="25"/>
      <c r="N110" s="89"/>
      <c r="O110" s="144" t="str">
        <f t="shared" si="119"/>
        <v>_x000D__x000D_</v>
      </c>
      <c r="P110" s="144" t="str">
        <f>CONCATENATE(V110,R110,X110)</f>
        <v>_x000D__x000D_</v>
      </c>
      <c r="Q110" s="55"/>
      <c r="R110" s="64" t="s">
        <v>918</v>
      </c>
      <c r="S110" s="425"/>
      <c r="T110" s="300" t="s">
        <v>834</v>
      </c>
      <c r="U110" s="301" t="s">
        <v>834</v>
      </c>
      <c r="V110" s="301" t="s">
        <v>834</v>
      </c>
      <c r="W110" s="258"/>
      <c r="X110" s="307" t="s">
        <v>834</v>
      </c>
      <c r="Y110" s="274"/>
      <c r="Z110" s="426"/>
      <c r="AA110" s="320">
        <f t="shared" si="64"/>
        <v>0</v>
      </c>
      <c r="AB110" s="320">
        <f t="shared" si="72"/>
        <v>0</v>
      </c>
      <c r="AC110" s="320">
        <f t="shared" si="73"/>
        <v>0</v>
      </c>
      <c r="AD110" s="320">
        <f t="shared" si="74"/>
        <v>0</v>
      </c>
      <c r="AE110" s="320">
        <f t="shared" si="111"/>
        <v>0</v>
      </c>
      <c r="AF110" s="320">
        <f t="shared" si="75"/>
        <v>0</v>
      </c>
      <c r="AG110" s="320">
        <f t="shared" si="63"/>
        <v>0</v>
      </c>
      <c r="AH110" s="427"/>
      <c r="AI110" s="320">
        <f t="shared" si="76"/>
        <v>0</v>
      </c>
      <c r="AJ110" s="320">
        <f t="shared" si="77"/>
        <v>0</v>
      </c>
      <c r="AK110" s="320">
        <f t="shared" si="78"/>
        <v>0</v>
      </c>
      <c r="AL110" s="320">
        <f t="shared" si="79"/>
        <v>0</v>
      </c>
      <c r="AM110" s="320">
        <f t="shared" si="80"/>
        <v>0</v>
      </c>
      <c r="AN110" s="320">
        <f t="shared" si="81"/>
        <v>0</v>
      </c>
      <c r="AO110" s="427"/>
      <c r="AP110" s="320">
        <f t="shared" si="112"/>
        <v>0</v>
      </c>
      <c r="AQ110" s="320">
        <f t="shared" si="82"/>
        <v>0</v>
      </c>
      <c r="AR110" s="320">
        <f t="shared" si="83"/>
        <v>0</v>
      </c>
      <c r="AS110" s="320">
        <f t="shared" si="84"/>
        <v>0</v>
      </c>
      <c r="AT110" s="320">
        <f t="shared" si="85"/>
        <v>0</v>
      </c>
      <c r="AU110" s="320">
        <f t="shared" si="86"/>
        <v>0</v>
      </c>
      <c r="AV110" s="427"/>
      <c r="AW110" s="320">
        <f t="shared" si="87"/>
        <v>0</v>
      </c>
      <c r="AX110" s="320">
        <f t="shared" si="88"/>
        <v>0</v>
      </c>
      <c r="AY110" s="320">
        <f t="shared" si="89"/>
        <v>0</v>
      </c>
      <c r="AZ110" s="320">
        <f t="shared" si="90"/>
        <v>0</v>
      </c>
      <c r="BA110" s="17"/>
      <c r="BB110" s="17" t="s">
        <v>834</v>
      </c>
      <c r="BC110" s="17"/>
      <c r="BD110" s="17"/>
      <c r="BE110" s="17"/>
      <c r="BF110" s="17"/>
      <c r="BG110" s="428">
        <f t="shared" si="65"/>
        <v>0</v>
      </c>
      <c r="BH110" s="17"/>
      <c r="BI110" s="17"/>
      <c r="BJ110" s="17"/>
      <c r="BK110" s="17"/>
      <c r="BL110" s="17"/>
      <c r="BM110" s="17"/>
      <c r="BN110" s="320">
        <f t="shared" si="66"/>
        <v>0</v>
      </c>
      <c r="BO110" s="320">
        <f t="shared" si="117"/>
        <v>0</v>
      </c>
      <c r="BP110" s="427"/>
      <c r="BQ110" s="427"/>
      <c r="BR110" s="320">
        <f t="shared" si="126"/>
        <v>0</v>
      </c>
      <c r="BS110" s="320">
        <f t="shared" si="126"/>
        <v>0</v>
      </c>
      <c r="BT110" s="427"/>
      <c r="BU110" s="320">
        <f t="shared" si="92"/>
        <v>0</v>
      </c>
      <c r="BV110" s="320">
        <f t="shared" si="93"/>
        <v>0</v>
      </c>
      <c r="BW110" s="320">
        <f t="shared" si="114"/>
        <v>0</v>
      </c>
      <c r="BX110" s="427"/>
      <c r="BY110" s="320">
        <f t="shared" si="94"/>
        <v>0</v>
      </c>
      <c r="BZ110" s="320">
        <f t="shared" si="95"/>
        <v>0</v>
      </c>
      <c r="CA110" s="320">
        <f t="shared" si="127"/>
        <v>0</v>
      </c>
      <c r="CB110" s="320">
        <f t="shared" si="97"/>
        <v>0</v>
      </c>
      <c r="CC110" s="427"/>
      <c r="CD110" s="320">
        <f t="shared" si="98"/>
        <v>0</v>
      </c>
      <c r="CE110" s="320">
        <f t="shared" si="99"/>
        <v>0</v>
      </c>
      <c r="CF110" s="320">
        <f t="shared" si="100"/>
        <v>0</v>
      </c>
      <c r="CG110" s="320">
        <f t="shared" si="101"/>
        <v>0</v>
      </c>
      <c r="CH110" s="427"/>
      <c r="CI110" s="427"/>
      <c r="CJ110" s="427"/>
      <c r="CK110" s="427"/>
      <c r="CL110" s="320">
        <f t="shared" si="116"/>
        <v>0</v>
      </c>
      <c r="CM110" s="320">
        <f t="shared" si="102"/>
        <v>0</v>
      </c>
      <c r="CN110" s="320">
        <f t="shared" si="103"/>
        <v>0</v>
      </c>
      <c r="CO110" s="320">
        <f t="shared" si="104"/>
        <v>0</v>
      </c>
      <c r="CP110" s="427"/>
      <c r="CQ110" s="427"/>
      <c r="CR110" s="320">
        <f t="shared" si="105"/>
        <v>0</v>
      </c>
      <c r="CS110" s="320">
        <f t="shared" si="115"/>
        <v>0</v>
      </c>
      <c r="CT110" s="320">
        <f t="shared" si="120"/>
        <v>0</v>
      </c>
      <c r="CU110" s="320">
        <f t="shared" si="121"/>
        <v>0</v>
      </c>
      <c r="CV110" s="427"/>
      <c r="CW110" s="17"/>
      <c r="CX110" s="320">
        <f t="shared" si="122"/>
        <v>0</v>
      </c>
      <c r="CY110" s="320">
        <f t="shared" si="107"/>
        <v>0</v>
      </c>
      <c r="CZ110" s="320">
        <f t="shared" si="108"/>
        <v>0</v>
      </c>
      <c r="DA110" s="17"/>
      <c r="DB110" s="17"/>
      <c r="DC110" s="17"/>
      <c r="DD110" s="31"/>
      <c r="DE110" s="321"/>
      <c r="DF110" s="321"/>
      <c r="DG110" s="321"/>
      <c r="DH110" s="321"/>
      <c r="DI110" s="321"/>
      <c r="DJ110" s="321"/>
      <c r="DK110" s="321"/>
      <c r="DL110" s="321"/>
      <c r="DM110" s="321"/>
      <c r="DN110" s="321"/>
      <c r="DO110" s="321"/>
      <c r="DP110" s="322"/>
      <c r="DQ110" s="288"/>
      <c r="DR110" s="241"/>
      <c r="DS110" s="429">
        <f t="shared" si="109"/>
        <v>0</v>
      </c>
      <c r="DT110" s="429"/>
      <c r="DU110" s="429"/>
      <c r="DV110" s="429"/>
      <c r="DW110" s="429"/>
      <c r="DX110" s="429"/>
      <c r="DY110" s="429"/>
      <c r="DZ110" s="134"/>
      <c r="EA110" s="134"/>
      <c r="EB110" s="134"/>
      <c r="EC110" s="134"/>
      <c r="ED110" s="123"/>
      <c r="EH110" s="163">
        <v>0</v>
      </c>
      <c r="EI110" s="165"/>
      <c r="EJ110" s="165" t="b">
        <f t="shared" si="110"/>
        <v>0</v>
      </c>
      <c r="EK110" s="173"/>
      <c r="EL110" s="173"/>
      <c r="EM110" s="173"/>
      <c r="EN110" s="468"/>
      <c r="EO110" s="468"/>
      <c r="EP110" s="468"/>
      <c r="EQ110" s="166"/>
      <c r="ER110" s="471">
        <v>1</v>
      </c>
      <c r="ES110" s="472"/>
      <c r="ET110" s="472" t="s">
        <v>251</v>
      </c>
      <c r="EU110" s="472"/>
      <c r="EV110" s="473"/>
      <c r="EZ110" s="393" t="s">
        <v>132</v>
      </c>
      <c r="FA110" s="393" t="s">
        <v>132</v>
      </c>
      <c r="FB110" s="389">
        <v>85.8</v>
      </c>
      <c r="FC110" s="389">
        <v>86.7</v>
      </c>
      <c r="FD110" s="389">
        <v>86.7</v>
      </c>
      <c r="FE110" s="389">
        <v>86.7</v>
      </c>
      <c r="FF110" s="389">
        <v>86.7</v>
      </c>
      <c r="FG110" s="390">
        <v>0</v>
      </c>
      <c r="FH110" s="390">
        <v>0</v>
      </c>
      <c r="FI110" s="390">
        <v>0</v>
      </c>
      <c r="FJ110" s="391">
        <v>0</v>
      </c>
      <c r="FK110" s="391" t="s">
        <v>1386</v>
      </c>
      <c r="FL110" s="31" t="s">
        <v>1387</v>
      </c>
      <c r="FN110" s="128" t="s">
        <v>1598</v>
      </c>
      <c r="FO110" s="128" t="s">
        <v>1599</v>
      </c>
      <c r="FP110" s="128"/>
    </row>
    <row r="111" spans="1:177" ht="22" hidden="1" customHeight="1" x14ac:dyDescent="0.2">
      <c r="A111" s="13" t="s">
        <v>10</v>
      </c>
      <c r="B111" s="14" t="s">
        <v>51</v>
      </c>
      <c r="C111" s="9" t="s">
        <v>1038</v>
      </c>
      <c r="D111" s="14"/>
      <c r="E111" s="129" t="s">
        <v>133</v>
      </c>
      <c r="F111" s="15"/>
      <c r="G111" s="15" t="s">
        <v>634</v>
      </c>
      <c r="H111" s="95">
        <f t="shared" si="128"/>
        <v>1</v>
      </c>
      <c r="I111" s="95">
        <f t="shared" si="123"/>
        <v>2</v>
      </c>
      <c r="J111" s="95"/>
      <c r="K111" s="256">
        <f t="shared" si="125"/>
        <v>3</v>
      </c>
      <c r="L111" s="278" t="s">
        <v>656</v>
      </c>
      <c r="M111" s="25"/>
      <c r="N111" s="26">
        <v>1000000</v>
      </c>
      <c r="O111" s="144" t="str">
        <f t="shared" si="119"/>
        <v>_x000D__x000D_</v>
      </c>
      <c r="P111" s="144" t="str">
        <f>CONCATENATE(V111,R111,X111)</f>
        <v>_x000D__x000D_</v>
      </c>
      <c r="Q111" s="55"/>
      <c r="R111" s="64" t="s">
        <v>918</v>
      </c>
      <c r="S111" s="425"/>
      <c r="T111" s="300" t="s">
        <v>834</v>
      </c>
      <c r="U111" s="301" t="s">
        <v>834</v>
      </c>
      <c r="V111" s="301" t="s">
        <v>834</v>
      </c>
      <c r="W111" s="258"/>
      <c r="X111" s="307" t="s">
        <v>834</v>
      </c>
      <c r="Y111" s="274"/>
      <c r="Z111" s="426"/>
      <c r="AA111" s="320">
        <f t="shared" si="64"/>
        <v>0</v>
      </c>
      <c r="AB111" s="320">
        <f t="shared" si="72"/>
        <v>0</v>
      </c>
      <c r="AC111" s="320">
        <f t="shared" si="73"/>
        <v>0</v>
      </c>
      <c r="AD111" s="320">
        <f t="shared" si="74"/>
        <v>0</v>
      </c>
      <c r="AE111" s="320">
        <f t="shared" si="111"/>
        <v>0</v>
      </c>
      <c r="AF111" s="320">
        <f t="shared" si="75"/>
        <v>0</v>
      </c>
      <c r="AG111" s="320">
        <f t="shared" si="63"/>
        <v>0</v>
      </c>
      <c r="AH111" s="427"/>
      <c r="AI111" s="320">
        <f t="shared" si="76"/>
        <v>0</v>
      </c>
      <c r="AJ111" s="320">
        <f t="shared" si="77"/>
        <v>0</v>
      </c>
      <c r="AK111" s="320">
        <f t="shared" si="78"/>
        <v>0</v>
      </c>
      <c r="AL111" s="320">
        <f t="shared" si="79"/>
        <v>0</v>
      </c>
      <c r="AM111" s="320">
        <f t="shared" si="80"/>
        <v>0</v>
      </c>
      <c r="AN111" s="320">
        <f t="shared" si="81"/>
        <v>0</v>
      </c>
      <c r="AO111" s="427"/>
      <c r="AP111" s="320">
        <f t="shared" si="112"/>
        <v>0</v>
      </c>
      <c r="AQ111" s="320">
        <f t="shared" si="82"/>
        <v>0</v>
      </c>
      <c r="AR111" s="320">
        <f t="shared" si="83"/>
        <v>0</v>
      </c>
      <c r="AS111" s="320">
        <f t="shared" si="84"/>
        <v>0</v>
      </c>
      <c r="AT111" s="320">
        <f t="shared" si="85"/>
        <v>0</v>
      </c>
      <c r="AU111" s="320">
        <f t="shared" si="86"/>
        <v>0</v>
      </c>
      <c r="AV111" s="427"/>
      <c r="AW111" s="320">
        <f t="shared" si="87"/>
        <v>0</v>
      </c>
      <c r="AX111" s="320">
        <f t="shared" si="88"/>
        <v>0</v>
      </c>
      <c r="AY111" s="320">
        <f t="shared" si="89"/>
        <v>0</v>
      </c>
      <c r="AZ111" s="320">
        <f t="shared" si="90"/>
        <v>0</v>
      </c>
      <c r="BA111" s="17"/>
      <c r="BB111" s="17" t="s">
        <v>834</v>
      </c>
      <c r="BC111" s="17"/>
      <c r="BD111" s="17"/>
      <c r="BE111" s="17"/>
      <c r="BF111" s="17"/>
      <c r="BG111" s="428">
        <f t="shared" si="65"/>
        <v>0</v>
      </c>
      <c r="BH111" s="17"/>
      <c r="BI111" s="17"/>
      <c r="BJ111" s="17"/>
      <c r="BK111" s="17"/>
      <c r="BL111" s="17"/>
      <c r="BM111" s="17"/>
      <c r="BN111" s="320">
        <f t="shared" si="66"/>
        <v>0</v>
      </c>
      <c r="BO111" s="320">
        <f t="shared" si="117"/>
        <v>0</v>
      </c>
      <c r="BP111" s="427"/>
      <c r="BQ111" s="427"/>
      <c r="BR111" s="320">
        <f t="shared" si="126"/>
        <v>0</v>
      </c>
      <c r="BS111" s="320">
        <f t="shared" si="126"/>
        <v>0</v>
      </c>
      <c r="BT111" s="427"/>
      <c r="BU111" s="320">
        <f t="shared" si="92"/>
        <v>0</v>
      </c>
      <c r="BV111" s="320">
        <f t="shared" si="93"/>
        <v>0</v>
      </c>
      <c r="BW111" s="320">
        <f t="shared" si="114"/>
        <v>0</v>
      </c>
      <c r="BX111" s="427"/>
      <c r="BY111" s="320">
        <f t="shared" si="94"/>
        <v>0</v>
      </c>
      <c r="BZ111" s="320">
        <f t="shared" si="95"/>
        <v>0</v>
      </c>
      <c r="CA111" s="320">
        <f t="shared" si="127"/>
        <v>0</v>
      </c>
      <c r="CB111" s="320">
        <f t="shared" si="97"/>
        <v>0</v>
      </c>
      <c r="CC111" s="427"/>
      <c r="CD111" s="320">
        <f t="shared" si="98"/>
        <v>0</v>
      </c>
      <c r="CE111" s="320">
        <f t="shared" si="99"/>
        <v>0</v>
      </c>
      <c r="CF111" s="320">
        <f t="shared" si="100"/>
        <v>0</v>
      </c>
      <c r="CG111" s="320">
        <f t="shared" si="101"/>
        <v>0</v>
      </c>
      <c r="CH111" s="427"/>
      <c r="CI111" s="427"/>
      <c r="CJ111" s="427"/>
      <c r="CK111" s="427"/>
      <c r="CL111" s="320">
        <f t="shared" si="116"/>
        <v>0</v>
      </c>
      <c r="CM111" s="320">
        <f t="shared" si="102"/>
        <v>0</v>
      </c>
      <c r="CN111" s="320">
        <f t="shared" si="103"/>
        <v>0</v>
      </c>
      <c r="CO111" s="320">
        <f t="shared" si="104"/>
        <v>0</v>
      </c>
      <c r="CP111" s="427"/>
      <c r="CQ111" s="427"/>
      <c r="CR111" s="320">
        <f t="shared" si="105"/>
        <v>0</v>
      </c>
      <c r="CS111" s="320">
        <f t="shared" si="115"/>
        <v>0</v>
      </c>
      <c r="CT111" s="320">
        <f t="shared" si="120"/>
        <v>0</v>
      </c>
      <c r="CU111" s="320">
        <f t="shared" si="121"/>
        <v>0</v>
      </c>
      <c r="CV111" s="427"/>
      <c r="CW111" s="17"/>
      <c r="CX111" s="320">
        <f t="shared" si="122"/>
        <v>0</v>
      </c>
      <c r="CY111" s="320">
        <f t="shared" si="107"/>
        <v>0</v>
      </c>
      <c r="CZ111" s="320">
        <f t="shared" si="108"/>
        <v>0</v>
      </c>
      <c r="DA111" s="17"/>
      <c r="DB111" s="17"/>
      <c r="DC111" s="17"/>
      <c r="DD111" s="31"/>
      <c r="DE111" s="323"/>
      <c r="DF111" s="323"/>
      <c r="DG111" s="323"/>
      <c r="DH111" s="323"/>
      <c r="DI111" s="323"/>
      <c r="DJ111" s="323"/>
      <c r="DK111" s="323"/>
      <c r="DL111" s="323"/>
      <c r="DM111" s="323"/>
      <c r="DN111" s="323"/>
      <c r="DO111" s="323"/>
      <c r="DP111" s="324"/>
      <c r="DQ111" s="288"/>
      <c r="DR111" s="244"/>
      <c r="DS111" s="429">
        <f t="shared" si="109"/>
        <v>0</v>
      </c>
      <c r="DT111" s="429">
        <f>SUM(BA111:BF111)/5</f>
        <v>0</v>
      </c>
      <c r="DU111" s="429"/>
      <c r="DV111" s="429"/>
      <c r="DW111" s="429"/>
      <c r="DX111" s="429"/>
      <c r="DY111" s="444"/>
      <c r="DZ111" s="134"/>
      <c r="EA111" s="134"/>
      <c r="EB111" s="134"/>
      <c r="EC111" s="134"/>
      <c r="ED111" s="123"/>
      <c r="EH111" s="179">
        <v>0</v>
      </c>
      <c r="EI111" s="188"/>
      <c r="EJ111" s="180" t="e">
        <f t="shared" si="110"/>
        <v>#VALUE!</v>
      </c>
      <c r="EK111" s="181"/>
      <c r="EL111" s="181"/>
      <c r="EM111" s="181"/>
      <c r="EN111" s="463"/>
      <c r="EO111" s="463"/>
      <c r="EP111" s="463"/>
      <c r="EQ111" s="182"/>
      <c r="ER111" s="464">
        <v>1</v>
      </c>
      <c r="ES111" s="465"/>
      <c r="ET111" s="465" t="s">
        <v>252</v>
      </c>
      <c r="EU111" s="465"/>
      <c r="EV111" s="466"/>
      <c r="EZ111" s="393" t="s">
        <v>133</v>
      </c>
      <c r="FA111" s="393" t="s">
        <v>133</v>
      </c>
      <c r="FB111" s="389">
        <v>13692</v>
      </c>
      <c r="FC111" s="389">
        <v>13023</v>
      </c>
      <c r="FD111" s="389">
        <v>12838</v>
      </c>
      <c r="FE111" s="389">
        <v>12553</v>
      </c>
      <c r="FF111" s="389">
        <v>12473</v>
      </c>
      <c r="FG111" s="390">
        <v>-2.8411272364278583E-3</v>
      </c>
      <c r="FH111" s="390">
        <v>-4.4399439164978967E-3</v>
      </c>
      <c r="FI111" s="390">
        <v>-1.2745957141719112E-3</v>
      </c>
      <c r="FJ111" s="391">
        <v>-0.71292526704317549</v>
      </c>
      <c r="FK111" s="391" t="s">
        <v>1386</v>
      </c>
      <c r="FL111" s="31" t="s">
        <v>1388</v>
      </c>
      <c r="FN111" s="129" t="s">
        <v>1600</v>
      </c>
      <c r="FO111" s="129" t="s">
        <v>1601</v>
      </c>
      <c r="FP111" s="129"/>
    </row>
    <row r="112" spans="1:177" ht="22" hidden="1" customHeight="1" x14ac:dyDescent="0.2">
      <c r="A112" s="13" t="s">
        <v>10</v>
      </c>
      <c r="B112" s="14" t="s">
        <v>51</v>
      </c>
      <c r="C112" s="14"/>
      <c r="D112" s="14"/>
      <c r="E112" s="128" t="s">
        <v>134</v>
      </c>
      <c r="F112" s="15"/>
      <c r="G112" s="15" t="s">
        <v>635</v>
      </c>
      <c r="H112" s="91">
        <f t="shared" si="128"/>
        <v>0</v>
      </c>
      <c r="I112" s="95">
        <f t="shared" si="123"/>
        <v>0</v>
      </c>
      <c r="J112" s="91"/>
      <c r="K112" s="256">
        <f t="shared" si="125"/>
        <v>0</v>
      </c>
      <c r="L112" s="101">
        <v>0</v>
      </c>
      <c r="M112" s="99"/>
      <c r="N112" s="89"/>
      <c r="O112" s="98" t="str">
        <f t="shared" si="119"/>
        <v>_x000D__x000D_</v>
      </c>
      <c r="P112" s="98"/>
      <c r="Q112" s="55"/>
      <c r="R112" s="64" t="s">
        <v>918</v>
      </c>
      <c r="S112" s="425"/>
      <c r="T112" s="300" t="s">
        <v>858</v>
      </c>
      <c r="U112" s="300" t="s">
        <v>900</v>
      </c>
      <c r="V112" s="300" t="s">
        <v>834</v>
      </c>
      <c r="W112" s="258"/>
      <c r="X112" s="307" t="s">
        <v>834</v>
      </c>
      <c r="Y112" s="274"/>
      <c r="Z112" s="426"/>
      <c r="AA112" s="320">
        <f t="shared" si="64"/>
        <v>0</v>
      </c>
      <c r="AB112" s="320">
        <f t="shared" si="72"/>
        <v>0</v>
      </c>
      <c r="AC112" s="320">
        <f t="shared" si="73"/>
        <v>0</v>
      </c>
      <c r="AD112" s="320">
        <f t="shared" si="74"/>
        <v>0</v>
      </c>
      <c r="AE112" s="320">
        <f t="shared" si="111"/>
        <v>0</v>
      </c>
      <c r="AF112" s="320">
        <f t="shared" si="75"/>
        <v>0</v>
      </c>
      <c r="AG112" s="320">
        <f t="shared" si="63"/>
        <v>0</v>
      </c>
      <c r="AH112" s="427"/>
      <c r="AI112" s="320">
        <f t="shared" si="76"/>
        <v>0</v>
      </c>
      <c r="AJ112" s="320">
        <f t="shared" si="77"/>
        <v>0</v>
      </c>
      <c r="AK112" s="320">
        <f t="shared" si="78"/>
        <v>0</v>
      </c>
      <c r="AL112" s="320">
        <f t="shared" si="79"/>
        <v>0</v>
      </c>
      <c r="AM112" s="320">
        <f t="shared" si="80"/>
        <v>0</v>
      </c>
      <c r="AN112" s="320">
        <f t="shared" si="81"/>
        <v>0</v>
      </c>
      <c r="AO112" s="427"/>
      <c r="AP112" s="320">
        <f t="shared" si="112"/>
        <v>0</v>
      </c>
      <c r="AQ112" s="320">
        <f t="shared" si="82"/>
        <v>0</v>
      </c>
      <c r="AR112" s="320">
        <f t="shared" si="83"/>
        <v>0</v>
      </c>
      <c r="AS112" s="320">
        <f t="shared" si="84"/>
        <v>0</v>
      </c>
      <c r="AT112" s="320">
        <f t="shared" si="85"/>
        <v>0</v>
      </c>
      <c r="AU112" s="320">
        <f t="shared" si="86"/>
        <v>0</v>
      </c>
      <c r="AV112" s="427"/>
      <c r="AW112" s="320">
        <f t="shared" si="87"/>
        <v>0</v>
      </c>
      <c r="AX112" s="320">
        <f t="shared" si="88"/>
        <v>0</v>
      </c>
      <c r="AY112" s="320">
        <f t="shared" si="89"/>
        <v>0</v>
      </c>
      <c r="AZ112" s="320">
        <f t="shared" si="90"/>
        <v>0</v>
      </c>
      <c r="BA112" s="17">
        <v>1</v>
      </c>
      <c r="BB112" s="17" t="s">
        <v>858</v>
      </c>
      <c r="BC112" s="17"/>
      <c r="BD112" s="17"/>
      <c r="BE112" s="17"/>
      <c r="BF112" s="17"/>
      <c r="BG112" s="428">
        <f t="shared" si="65"/>
        <v>0</v>
      </c>
      <c r="BH112" s="17"/>
      <c r="BI112" s="17" t="s">
        <v>650</v>
      </c>
      <c r="BJ112" s="17"/>
      <c r="BK112" s="17"/>
      <c r="BL112" s="17"/>
      <c r="BM112" s="17"/>
      <c r="BN112" s="320">
        <f t="shared" si="66"/>
        <v>0</v>
      </c>
      <c r="BO112" s="320">
        <f t="shared" si="117"/>
        <v>0</v>
      </c>
      <c r="BP112" s="427"/>
      <c r="BQ112" s="427"/>
      <c r="BR112" s="320">
        <f t="shared" si="126"/>
        <v>0</v>
      </c>
      <c r="BS112" s="320">
        <f t="shared" si="126"/>
        <v>0</v>
      </c>
      <c r="BT112" s="427"/>
      <c r="BU112" s="320">
        <f t="shared" si="92"/>
        <v>0</v>
      </c>
      <c r="BV112" s="320">
        <f t="shared" si="93"/>
        <v>0</v>
      </c>
      <c r="BW112" s="320">
        <f t="shared" si="114"/>
        <v>0</v>
      </c>
      <c r="BX112" s="427"/>
      <c r="BY112" s="320">
        <f t="shared" si="94"/>
        <v>0</v>
      </c>
      <c r="BZ112" s="320">
        <f t="shared" si="95"/>
        <v>0</v>
      </c>
      <c r="CA112" s="320">
        <f t="shared" si="127"/>
        <v>0</v>
      </c>
      <c r="CB112" s="320">
        <f t="shared" si="97"/>
        <v>0</v>
      </c>
      <c r="CC112" s="427"/>
      <c r="CD112" s="320">
        <f t="shared" si="98"/>
        <v>0</v>
      </c>
      <c r="CE112" s="320">
        <f t="shared" si="99"/>
        <v>0</v>
      </c>
      <c r="CF112" s="320">
        <f t="shared" si="100"/>
        <v>0</v>
      </c>
      <c r="CG112" s="320">
        <f t="shared" si="101"/>
        <v>0</v>
      </c>
      <c r="CH112" s="427"/>
      <c r="CI112" s="427"/>
      <c r="CJ112" s="427"/>
      <c r="CK112" s="427"/>
      <c r="CL112" s="320">
        <f t="shared" si="116"/>
        <v>0</v>
      </c>
      <c r="CM112" s="320">
        <f t="shared" si="102"/>
        <v>0</v>
      </c>
      <c r="CN112" s="320">
        <f t="shared" si="103"/>
        <v>0</v>
      </c>
      <c r="CO112" s="320">
        <f t="shared" si="104"/>
        <v>0</v>
      </c>
      <c r="CP112" s="427"/>
      <c r="CQ112" s="427"/>
      <c r="CR112" s="320">
        <f t="shared" si="105"/>
        <v>0</v>
      </c>
      <c r="CS112" s="320">
        <f t="shared" si="115"/>
        <v>0</v>
      </c>
      <c r="CT112" s="320">
        <f t="shared" si="120"/>
        <v>0</v>
      </c>
      <c r="CU112" s="320">
        <f t="shared" si="121"/>
        <v>0</v>
      </c>
      <c r="CV112" s="427"/>
      <c r="CW112" s="17"/>
      <c r="CX112" s="320">
        <f t="shared" si="122"/>
        <v>0</v>
      </c>
      <c r="CY112" s="320">
        <f t="shared" si="107"/>
        <v>0</v>
      </c>
      <c r="CZ112" s="320">
        <f t="shared" si="108"/>
        <v>0</v>
      </c>
      <c r="DA112" s="17"/>
      <c r="DB112" s="17"/>
      <c r="DC112" s="17"/>
      <c r="DD112" s="31"/>
      <c r="DE112" s="321"/>
      <c r="DF112" s="321"/>
      <c r="DG112" s="321"/>
      <c r="DH112" s="321"/>
      <c r="DI112" s="321"/>
      <c r="DJ112" s="321"/>
      <c r="DK112" s="321"/>
      <c r="DL112" s="321"/>
      <c r="DM112" s="321"/>
      <c r="DN112" s="321"/>
      <c r="DO112" s="321"/>
      <c r="DP112" s="322"/>
      <c r="DQ112" s="288"/>
      <c r="DR112" s="241"/>
      <c r="DS112" s="429">
        <f t="shared" si="109"/>
        <v>0</v>
      </c>
      <c r="DT112" s="429"/>
      <c r="DU112" s="429"/>
      <c r="DV112" s="429"/>
      <c r="DW112" s="429"/>
      <c r="DX112" s="429"/>
      <c r="DY112" s="429"/>
      <c r="DZ112" s="134"/>
      <c r="EA112" s="134"/>
      <c r="EB112" s="134"/>
      <c r="EC112" s="134"/>
      <c r="ED112" s="123"/>
      <c r="EH112" s="44"/>
      <c r="EI112" s="45"/>
      <c r="EJ112" s="33" t="b">
        <f t="shared" si="110"/>
        <v>0</v>
      </c>
      <c r="EK112" s="42"/>
      <c r="EL112" s="42"/>
      <c r="EM112" s="42"/>
      <c r="EN112" s="439"/>
      <c r="EO112" s="439"/>
      <c r="EP112" s="439"/>
      <c r="EQ112" s="38"/>
      <c r="ER112" s="440"/>
      <c r="ES112" s="431"/>
      <c r="ET112" s="431"/>
      <c r="EU112" s="431"/>
      <c r="EV112" s="447"/>
      <c r="EZ112" s="393" t="s">
        <v>134</v>
      </c>
      <c r="FA112" s="393" t="s">
        <v>134</v>
      </c>
      <c r="FB112" s="389">
        <v>3896</v>
      </c>
      <c r="FC112" s="389">
        <v>3567</v>
      </c>
      <c r="FD112" s="389">
        <v>3402</v>
      </c>
      <c r="FE112" s="389">
        <v>3237</v>
      </c>
      <c r="FF112" s="389">
        <v>3147</v>
      </c>
      <c r="FG112" s="390">
        <v>-9.2514718250630776E-3</v>
      </c>
      <c r="FH112" s="390">
        <v>-9.700176366843033E-3</v>
      </c>
      <c r="FI112" s="390">
        <v>-5.5607043558850789E-3</v>
      </c>
      <c r="FJ112" s="391">
        <v>-0.42674193276602912</v>
      </c>
      <c r="FK112" s="391" t="s">
        <v>1386</v>
      </c>
      <c r="FL112" s="31" t="s">
        <v>1395</v>
      </c>
      <c r="FN112" s="128" t="s">
        <v>1602</v>
      </c>
      <c r="FO112" s="128" t="s">
        <v>1603</v>
      </c>
      <c r="FP112" s="128"/>
    </row>
    <row r="113" spans="1:177" ht="22" hidden="1" customHeight="1" x14ac:dyDescent="0.2">
      <c r="A113" s="13" t="s">
        <v>4</v>
      </c>
      <c r="B113" s="14" t="s">
        <v>47</v>
      </c>
      <c r="C113" s="9" t="s">
        <v>1039</v>
      </c>
      <c r="D113" s="14" t="s">
        <v>1068</v>
      </c>
      <c r="E113" s="128" t="s">
        <v>135</v>
      </c>
      <c r="F113" s="15" t="s">
        <v>638</v>
      </c>
      <c r="G113" s="15" t="s">
        <v>634</v>
      </c>
      <c r="H113" s="91">
        <f t="shared" si="128"/>
        <v>1</v>
      </c>
      <c r="I113" s="95">
        <f t="shared" si="123"/>
        <v>0</v>
      </c>
      <c r="J113" s="91"/>
      <c r="K113" s="256">
        <f t="shared" si="125"/>
        <v>1</v>
      </c>
      <c r="L113" s="101">
        <v>0</v>
      </c>
      <c r="M113" s="25"/>
      <c r="N113" s="89"/>
      <c r="O113" s="98" t="str">
        <f t="shared" si="119"/>
        <v>_x000D__x000D_</v>
      </c>
      <c r="P113" s="144" t="str">
        <f>CONCATENATE(V113,R113,X113)</f>
        <v xml:space="preserve">N/A or not found_x000D__x000D_ </v>
      </c>
      <c r="Q113" s="55"/>
      <c r="R113" s="64" t="s">
        <v>918</v>
      </c>
      <c r="S113" s="425"/>
      <c r="T113" s="300" t="s">
        <v>925</v>
      </c>
      <c r="U113" s="300" t="s">
        <v>925</v>
      </c>
      <c r="V113" s="300" t="s">
        <v>925</v>
      </c>
      <c r="W113" s="258"/>
      <c r="X113" s="301" t="s">
        <v>924</v>
      </c>
      <c r="Y113" s="299"/>
      <c r="Z113" s="426" t="s">
        <v>231</v>
      </c>
      <c r="AA113" s="320">
        <f t="shared" si="64"/>
        <v>1</v>
      </c>
      <c r="AB113" s="320">
        <f t="shared" si="72"/>
        <v>1</v>
      </c>
      <c r="AC113" s="320">
        <f t="shared" si="73"/>
        <v>1</v>
      </c>
      <c r="AD113" s="320">
        <f t="shared" si="74"/>
        <v>1</v>
      </c>
      <c r="AE113" s="320">
        <f t="shared" si="111"/>
        <v>1</v>
      </c>
      <c r="AF113" s="320">
        <f t="shared" si="75"/>
        <v>0</v>
      </c>
      <c r="AG113" s="320">
        <f t="shared" si="63"/>
        <v>1</v>
      </c>
      <c r="AH113" s="427">
        <v>1</v>
      </c>
      <c r="AI113" s="320">
        <f t="shared" si="76"/>
        <v>1</v>
      </c>
      <c r="AJ113" s="320">
        <f t="shared" si="77"/>
        <v>0</v>
      </c>
      <c r="AK113" s="320">
        <f t="shared" si="78"/>
        <v>0</v>
      </c>
      <c r="AL113" s="320">
        <f t="shared" si="79"/>
        <v>0</v>
      </c>
      <c r="AM113" s="320">
        <f t="shared" si="80"/>
        <v>0</v>
      </c>
      <c r="AN113" s="320">
        <f t="shared" si="81"/>
        <v>0</v>
      </c>
      <c r="AO113" s="427">
        <v>0</v>
      </c>
      <c r="AP113" s="320">
        <f t="shared" si="112"/>
        <v>0</v>
      </c>
      <c r="AQ113" s="320">
        <f t="shared" si="82"/>
        <v>0</v>
      </c>
      <c r="AR113" s="320">
        <f t="shared" si="83"/>
        <v>0</v>
      </c>
      <c r="AS113" s="320">
        <f t="shared" si="84"/>
        <v>0</v>
      </c>
      <c r="AT113" s="320">
        <f t="shared" si="85"/>
        <v>0</v>
      </c>
      <c r="AU113" s="320">
        <f t="shared" si="86"/>
        <v>0</v>
      </c>
      <c r="AV113" s="427">
        <v>0</v>
      </c>
      <c r="AW113" s="320">
        <f t="shared" si="87"/>
        <v>0</v>
      </c>
      <c r="AX113" s="320">
        <f t="shared" si="88"/>
        <v>0</v>
      </c>
      <c r="AY113" s="320">
        <f t="shared" si="89"/>
        <v>0</v>
      </c>
      <c r="AZ113" s="320">
        <f t="shared" si="90"/>
        <v>0</v>
      </c>
      <c r="BA113" s="17">
        <v>0</v>
      </c>
      <c r="BB113" s="17" t="s">
        <v>834</v>
      </c>
      <c r="BC113" s="17">
        <v>0</v>
      </c>
      <c r="BD113" s="17">
        <v>0</v>
      </c>
      <c r="BE113" s="17">
        <v>0</v>
      </c>
      <c r="BF113" s="17">
        <v>0</v>
      </c>
      <c r="BG113" s="428">
        <f t="shared" si="65"/>
        <v>0</v>
      </c>
      <c r="BH113" s="17">
        <v>1</v>
      </c>
      <c r="BI113" s="17">
        <v>0</v>
      </c>
      <c r="BJ113" s="17" t="s">
        <v>834</v>
      </c>
      <c r="BK113" s="17"/>
      <c r="BL113" s="17">
        <v>1</v>
      </c>
      <c r="BM113" s="17" t="s">
        <v>1222</v>
      </c>
      <c r="BN113" s="320">
        <f t="shared" si="66"/>
        <v>1</v>
      </c>
      <c r="BO113" s="320">
        <f t="shared" si="117"/>
        <v>0</v>
      </c>
      <c r="BP113" s="427">
        <v>0</v>
      </c>
      <c r="BQ113" s="427" t="s">
        <v>1223</v>
      </c>
      <c r="BR113" s="320">
        <f t="shared" si="126"/>
        <v>0</v>
      </c>
      <c r="BS113" s="320">
        <f>IF(ISNUMBER(SEARCH("t",$BP113)),1,0)</f>
        <v>0</v>
      </c>
      <c r="BT113" s="427">
        <v>0</v>
      </c>
      <c r="BU113" s="320">
        <f t="shared" si="92"/>
        <v>0</v>
      </c>
      <c r="BV113" s="320">
        <f t="shared" si="93"/>
        <v>0</v>
      </c>
      <c r="BW113" s="320">
        <f t="shared" si="114"/>
        <v>0</v>
      </c>
      <c r="BX113" s="427" t="s">
        <v>315</v>
      </c>
      <c r="BY113" s="320">
        <f t="shared" si="94"/>
        <v>1</v>
      </c>
      <c r="BZ113" s="320">
        <f t="shared" si="95"/>
        <v>0</v>
      </c>
      <c r="CA113" s="320">
        <f t="shared" si="127"/>
        <v>1</v>
      </c>
      <c r="CB113" s="320">
        <f t="shared" si="97"/>
        <v>0</v>
      </c>
      <c r="CC113" s="427">
        <v>0</v>
      </c>
      <c r="CD113" s="320">
        <f t="shared" si="98"/>
        <v>0</v>
      </c>
      <c r="CE113" s="320">
        <f t="shared" si="99"/>
        <v>0</v>
      </c>
      <c r="CF113" s="320">
        <f t="shared" si="100"/>
        <v>0</v>
      </c>
      <c r="CG113" s="320">
        <f t="shared" si="101"/>
        <v>0</v>
      </c>
      <c r="CH113" s="427">
        <v>0</v>
      </c>
      <c r="CI113" s="427">
        <v>0</v>
      </c>
      <c r="CJ113" s="427">
        <v>0</v>
      </c>
      <c r="CK113" s="427">
        <v>0</v>
      </c>
      <c r="CL113" s="320">
        <f t="shared" si="116"/>
        <v>0</v>
      </c>
      <c r="CM113" s="320">
        <f t="shared" si="102"/>
        <v>0</v>
      </c>
      <c r="CN113" s="320">
        <f t="shared" si="103"/>
        <v>0</v>
      </c>
      <c r="CO113" s="320">
        <f t="shared" si="104"/>
        <v>0</v>
      </c>
      <c r="CP113" s="427">
        <v>1</v>
      </c>
      <c r="CQ113" s="427" t="s">
        <v>317</v>
      </c>
      <c r="CR113" s="320">
        <f t="shared" si="105"/>
        <v>1</v>
      </c>
      <c r="CS113" s="320">
        <f t="shared" si="115"/>
        <v>0</v>
      </c>
      <c r="CT113" s="320">
        <f t="shared" si="120"/>
        <v>1</v>
      </c>
      <c r="CU113" s="320">
        <f t="shared" si="121"/>
        <v>0</v>
      </c>
      <c r="CV113" s="427">
        <v>0</v>
      </c>
      <c r="CW113" s="17">
        <v>4</v>
      </c>
      <c r="CX113" s="320">
        <f t="shared" si="122"/>
        <v>0</v>
      </c>
      <c r="CY113" s="320">
        <f t="shared" si="107"/>
        <v>0</v>
      </c>
      <c r="CZ113" s="320">
        <f t="shared" si="108"/>
        <v>0</v>
      </c>
      <c r="DA113" s="17">
        <v>1</v>
      </c>
      <c r="DB113" s="17">
        <v>1</v>
      </c>
      <c r="DC113" s="17">
        <v>1</v>
      </c>
      <c r="DD113" s="31"/>
      <c r="DE113" s="323" t="s">
        <v>387</v>
      </c>
      <c r="DF113" s="323"/>
      <c r="DG113" s="323"/>
      <c r="DH113" s="323" t="s">
        <v>387</v>
      </c>
      <c r="DI113" s="323"/>
      <c r="DJ113" s="323"/>
      <c r="DK113" s="323"/>
      <c r="DL113" s="323"/>
      <c r="DM113" s="323"/>
      <c r="DN113" s="323"/>
      <c r="DO113" s="323"/>
      <c r="DP113" s="324"/>
      <c r="DQ113" s="288"/>
      <c r="DR113" s="239">
        <f>SUM(DS113:DX113)/6</f>
        <v>0.17340982286634463</v>
      </c>
      <c r="DS113" s="429">
        <f t="shared" si="109"/>
        <v>0.30434782608695654</v>
      </c>
      <c r="DT113" s="429">
        <f>SUM(BA113:BE113,BG113)/5</f>
        <v>0</v>
      </c>
      <c r="DU113" s="429">
        <f>SUM(BI113,BO113,BS113,BU113:BW113)/6</f>
        <v>0</v>
      </c>
      <c r="DV113" s="429">
        <f>SUM(BY113-CB113,CD113-CG113)/8</f>
        <v>0.125</v>
      </c>
      <c r="DW113" s="429">
        <f>SUM(CH113:CJ113,CL113:CO113,BN113,BR113)/9</f>
        <v>0.1111111111111111</v>
      </c>
      <c r="DX113" s="429">
        <f>SUM(CP113,CR113:CV113)/6</f>
        <v>0.5</v>
      </c>
      <c r="DY113" s="429"/>
      <c r="DZ113" s="137" t="s">
        <v>722</v>
      </c>
      <c r="EA113" s="135"/>
      <c r="EB113" s="137" t="s">
        <v>744</v>
      </c>
      <c r="EC113" s="137" t="s">
        <v>745</v>
      </c>
      <c r="ED113" s="124">
        <v>2</v>
      </c>
      <c r="EH113" s="44">
        <v>0</v>
      </c>
      <c r="EI113" s="45"/>
      <c r="EJ113" s="33" t="b">
        <f t="shared" si="110"/>
        <v>0</v>
      </c>
      <c r="EK113" s="42"/>
      <c r="EL113" s="42"/>
      <c r="EM113" s="42"/>
      <c r="EN113" s="439"/>
      <c r="EO113" s="439"/>
      <c r="EP113" s="439"/>
      <c r="EQ113" s="38"/>
      <c r="ER113" s="440">
        <v>1</v>
      </c>
      <c r="ES113" s="431"/>
      <c r="ET113" s="431"/>
      <c r="EU113" s="431"/>
      <c r="EV113" s="447"/>
      <c r="EZ113" s="393" t="s">
        <v>135</v>
      </c>
      <c r="FA113" s="393" t="s">
        <v>135</v>
      </c>
      <c r="FB113" s="389">
        <v>22376</v>
      </c>
      <c r="FC113" s="389">
        <v>21591</v>
      </c>
      <c r="FD113" s="389">
        <v>20890</v>
      </c>
      <c r="FE113" s="389">
        <v>22124</v>
      </c>
      <c r="FF113" s="389">
        <v>22195</v>
      </c>
      <c r="FG113" s="390">
        <v>-6.493446343383817E-3</v>
      </c>
      <c r="FH113" s="390">
        <v>1.1814265198659645E-2</v>
      </c>
      <c r="FI113" s="390">
        <v>6.4183691918278795E-4</v>
      </c>
      <c r="FJ113" s="391" t="s">
        <v>1389</v>
      </c>
      <c r="FK113" s="391">
        <v>-0.94567271782119755</v>
      </c>
      <c r="FL113" s="31" t="s">
        <v>1394</v>
      </c>
      <c r="FN113" s="128" t="s">
        <v>1604</v>
      </c>
      <c r="FO113" s="128" t="s">
        <v>1605</v>
      </c>
      <c r="FP113" s="128"/>
    </row>
    <row r="114" spans="1:177" ht="22" hidden="1" customHeight="1" x14ac:dyDescent="0.2">
      <c r="A114" s="13" t="s">
        <v>4</v>
      </c>
      <c r="B114" s="14" t="s">
        <v>5</v>
      </c>
      <c r="C114" s="14"/>
      <c r="D114" s="14" t="s">
        <v>1068</v>
      </c>
      <c r="E114" s="128" t="s">
        <v>136</v>
      </c>
      <c r="F114" s="15" t="s">
        <v>638</v>
      </c>
      <c r="G114" s="15" t="s">
        <v>635</v>
      </c>
      <c r="H114" s="91">
        <f t="shared" si="128"/>
        <v>0</v>
      </c>
      <c r="I114" s="95">
        <f t="shared" si="123"/>
        <v>0</v>
      </c>
      <c r="J114" s="91"/>
      <c r="K114" s="256">
        <f t="shared" si="125"/>
        <v>0</v>
      </c>
      <c r="L114" s="101">
        <v>0</v>
      </c>
      <c r="M114" s="25"/>
      <c r="N114" s="89"/>
      <c r="O114" s="98" t="str">
        <f t="shared" si="119"/>
        <v>_x000D__x000D_</v>
      </c>
      <c r="P114" s="144" t="str">
        <f>CONCATENATE(V114,R114,X114)</f>
        <v xml:space="preserve">N/A or not found_x000D__x000D_ </v>
      </c>
      <c r="Q114" s="55"/>
      <c r="R114" s="64" t="s">
        <v>918</v>
      </c>
      <c r="S114" s="425"/>
      <c r="T114" s="300" t="s">
        <v>997</v>
      </c>
      <c r="U114" s="300" t="s">
        <v>998</v>
      </c>
      <c r="V114" s="300" t="s">
        <v>925</v>
      </c>
      <c r="W114" s="258"/>
      <c r="X114" s="307" t="s">
        <v>924</v>
      </c>
      <c r="Y114" s="274"/>
      <c r="Z114" s="426">
        <v>2</v>
      </c>
      <c r="AA114" s="320">
        <f t="shared" si="64"/>
        <v>0</v>
      </c>
      <c r="AB114" s="320">
        <f t="shared" si="72"/>
        <v>0</v>
      </c>
      <c r="AC114" s="320">
        <f t="shared" si="73"/>
        <v>1</v>
      </c>
      <c r="AD114" s="320">
        <f t="shared" si="74"/>
        <v>0</v>
      </c>
      <c r="AE114" s="320">
        <f t="shared" si="111"/>
        <v>0</v>
      </c>
      <c r="AF114" s="320">
        <f t="shared" si="75"/>
        <v>0</v>
      </c>
      <c r="AG114" s="320">
        <f t="shared" si="63"/>
        <v>0</v>
      </c>
      <c r="AH114" s="427">
        <v>0</v>
      </c>
      <c r="AI114" s="320">
        <f t="shared" si="76"/>
        <v>0</v>
      </c>
      <c r="AJ114" s="320">
        <f t="shared" si="77"/>
        <v>0</v>
      </c>
      <c r="AK114" s="320">
        <f t="shared" si="78"/>
        <v>0</v>
      </c>
      <c r="AL114" s="320">
        <f t="shared" si="79"/>
        <v>0</v>
      </c>
      <c r="AM114" s="320">
        <f t="shared" si="80"/>
        <v>0</v>
      </c>
      <c r="AN114" s="320">
        <f t="shared" si="81"/>
        <v>0</v>
      </c>
      <c r="AO114" s="427">
        <v>0</v>
      </c>
      <c r="AP114" s="320">
        <f t="shared" si="112"/>
        <v>0</v>
      </c>
      <c r="AQ114" s="320">
        <f t="shared" si="82"/>
        <v>0</v>
      </c>
      <c r="AR114" s="320">
        <f t="shared" si="83"/>
        <v>0</v>
      </c>
      <c r="AS114" s="320">
        <f t="shared" si="84"/>
        <v>0</v>
      </c>
      <c r="AT114" s="320">
        <f t="shared" si="85"/>
        <v>0</v>
      </c>
      <c r="AU114" s="320">
        <f t="shared" si="86"/>
        <v>0</v>
      </c>
      <c r="AV114" s="427" t="s">
        <v>317</v>
      </c>
      <c r="AW114" s="320">
        <f t="shared" si="87"/>
        <v>1</v>
      </c>
      <c r="AX114" s="320">
        <f t="shared" si="88"/>
        <v>1</v>
      </c>
      <c r="AY114" s="320">
        <f t="shared" si="89"/>
        <v>0</v>
      </c>
      <c r="AZ114" s="320">
        <f t="shared" si="90"/>
        <v>0</v>
      </c>
      <c r="BA114" s="17">
        <v>1</v>
      </c>
      <c r="BB114" s="17" t="s">
        <v>1277</v>
      </c>
      <c r="BC114" s="17">
        <v>0</v>
      </c>
      <c r="BD114" s="17">
        <v>1</v>
      </c>
      <c r="BE114" s="17">
        <v>1</v>
      </c>
      <c r="BF114" s="17">
        <v>0</v>
      </c>
      <c r="BG114" s="428">
        <f t="shared" si="65"/>
        <v>0</v>
      </c>
      <c r="BH114" s="17">
        <v>1</v>
      </c>
      <c r="BI114" s="17">
        <v>1</v>
      </c>
      <c r="BJ114" s="17" t="s">
        <v>1229</v>
      </c>
      <c r="BK114" s="17"/>
      <c r="BL114" s="17">
        <v>0</v>
      </c>
      <c r="BM114" s="17" t="s">
        <v>834</v>
      </c>
      <c r="BN114" s="320">
        <f t="shared" si="66"/>
        <v>0</v>
      </c>
      <c r="BO114" s="320">
        <f t="shared" si="117"/>
        <v>0</v>
      </c>
      <c r="BP114" s="427">
        <v>0</v>
      </c>
      <c r="BQ114" s="427" t="s">
        <v>1230</v>
      </c>
      <c r="BR114" s="320">
        <f t="shared" si="126"/>
        <v>0</v>
      </c>
      <c r="BS114" s="320">
        <f>IF(ISNUMBER(SEARCH("t",$BP114)),1,0)</f>
        <v>0</v>
      </c>
      <c r="BT114" s="427">
        <v>0</v>
      </c>
      <c r="BU114" s="320">
        <f t="shared" si="92"/>
        <v>0</v>
      </c>
      <c r="BV114" s="320">
        <f t="shared" si="93"/>
        <v>0</v>
      </c>
      <c r="BW114" s="320">
        <f t="shared" si="114"/>
        <v>0</v>
      </c>
      <c r="BX114" s="427" t="s">
        <v>315</v>
      </c>
      <c r="BY114" s="320">
        <f t="shared" si="94"/>
        <v>1</v>
      </c>
      <c r="BZ114" s="320">
        <f t="shared" si="95"/>
        <v>0</v>
      </c>
      <c r="CA114" s="320">
        <f t="shared" si="127"/>
        <v>1</v>
      </c>
      <c r="CB114" s="320">
        <f t="shared" si="97"/>
        <v>0</v>
      </c>
      <c r="CC114" s="427">
        <v>1</v>
      </c>
      <c r="CD114" s="320">
        <f t="shared" si="98"/>
        <v>1</v>
      </c>
      <c r="CE114" s="320">
        <f t="shared" si="99"/>
        <v>0</v>
      </c>
      <c r="CF114" s="320">
        <f t="shared" si="100"/>
        <v>0</v>
      </c>
      <c r="CG114" s="320">
        <f t="shared" si="101"/>
        <v>0</v>
      </c>
      <c r="CH114" s="427">
        <v>0</v>
      </c>
      <c r="CI114" s="427">
        <v>0</v>
      </c>
      <c r="CJ114" s="427">
        <v>0</v>
      </c>
      <c r="CK114" s="427">
        <v>0</v>
      </c>
      <c r="CL114" s="320">
        <f t="shared" si="116"/>
        <v>0</v>
      </c>
      <c r="CM114" s="320">
        <f t="shared" si="102"/>
        <v>0</v>
      </c>
      <c r="CN114" s="320">
        <f t="shared" si="103"/>
        <v>0</v>
      </c>
      <c r="CO114" s="320">
        <f t="shared" si="104"/>
        <v>0</v>
      </c>
      <c r="CP114" s="427">
        <v>0</v>
      </c>
      <c r="CQ114" s="427" t="s">
        <v>317</v>
      </c>
      <c r="CR114" s="320">
        <f t="shared" si="105"/>
        <v>1</v>
      </c>
      <c r="CS114" s="320">
        <f t="shared" si="115"/>
        <v>0</v>
      </c>
      <c r="CT114" s="320">
        <f t="shared" si="120"/>
        <v>1</v>
      </c>
      <c r="CU114" s="320">
        <f t="shared" si="121"/>
        <v>0</v>
      </c>
      <c r="CV114" s="427">
        <v>0</v>
      </c>
      <c r="CW114" s="17">
        <v>0</v>
      </c>
      <c r="CX114" s="320">
        <f t="shared" si="122"/>
        <v>0</v>
      </c>
      <c r="CY114" s="320">
        <f t="shared" si="107"/>
        <v>0</v>
      </c>
      <c r="CZ114" s="320">
        <f t="shared" si="108"/>
        <v>0</v>
      </c>
      <c r="DA114" s="17">
        <v>1</v>
      </c>
      <c r="DB114" s="17">
        <v>0</v>
      </c>
      <c r="DC114" s="17">
        <v>0</v>
      </c>
      <c r="DD114" s="31"/>
      <c r="DE114" s="321" t="s">
        <v>424</v>
      </c>
      <c r="DF114" s="321" t="s">
        <v>480</v>
      </c>
      <c r="DG114" s="321"/>
      <c r="DH114" s="321"/>
      <c r="DI114" s="321"/>
      <c r="DJ114" s="321"/>
      <c r="DK114" s="321"/>
      <c r="DL114" s="321" t="s">
        <v>481</v>
      </c>
      <c r="DM114" s="321" t="s">
        <v>482</v>
      </c>
      <c r="DN114" s="321"/>
      <c r="DO114" s="321"/>
      <c r="DP114" s="322"/>
      <c r="DQ114" s="288"/>
      <c r="DR114" s="239">
        <f>SUM(DS114:DX114)/6</f>
        <v>0.2467391304347826</v>
      </c>
      <c r="DS114" s="429">
        <f t="shared" si="109"/>
        <v>0.13043478260869565</v>
      </c>
      <c r="DT114" s="429">
        <f>SUM(BA114:BE114,BG114)/5</f>
        <v>0.6</v>
      </c>
      <c r="DU114" s="429">
        <f>SUM(BI114,BO114,BS114,BU114:BW114)/6</f>
        <v>0.16666666666666666</v>
      </c>
      <c r="DV114" s="429">
        <f>SUM(BY114-CB114,CD114-CG114)/8</f>
        <v>0.25</v>
      </c>
      <c r="DW114" s="429">
        <f>SUM(CH114:CJ114,CL114:CO114,BN114,BR114)/9</f>
        <v>0</v>
      </c>
      <c r="DX114" s="429">
        <f>SUM(CP114,CR114:CV114)/6</f>
        <v>0.33333333333333331</v>
      </c>
      <c r="DY114" s="429"/>
      <c r="DZ114" s="137" t="s">
        <v>729</v>
      </c>
      <c r="EA114" s="135"/>
      <c r="EB114" s="137" t="s">
        <v>750</v>
      </c>
      <c r="EC114" s="137" t="s">
        <v>755</v>
      </c>
      <c r="ED114" s="124">
        <v>3</v>
      </c>
      <c r="EH114" s="46"/>
      <c r="EI114" s="45"/>
      <c r="EJ114" s="33" t="b">
        <f t="shared" si="110"/>
        <v>0</v>
      </c>
      <c r="EK114" s="42"/>
      <c r="EL114" s="42"/>
      <c r="EM114" s="42"/>
      <c r="EN114" s="439"/>
      <c r="EO114" s="439"/>
      <c r="EP114" s="439"/>
      <c r="EQ114" s="47"/>
      <c r="ER114" s="440"/>
      <c r="ES114" s="431"/>
      <c r="ET114" s="431"/>
      <c r="EU114" s="431"/>
      <c r="EV114" s="447"/>
      <c r="EZ114" s="393" t="s">
        <v>136</v>
      </c>
      <c r="FA114" s="393" t="s">
        <v>136</v>
      </c>
      <c r="FB114" s="389">
        <v>1</v>
      </c>
      <c r="FC114" s="389">
        <v>1</v>
      </c>
      <c r="FD114" s="389">
        <v>1</v>
      </c>
      <c r="FE114" s="389">
        <v>1</v>
      </c>
      <c r="FF114" s="389">
        <v>1</v>
      </c>
      <c r="FG114" s="390">
        <v>0</v>
      </c>
      <c r="FH114" s="390">
        <v>0</v>
      </c>
      <c r="FI114" s="390">
        <v>0</v>
      </c>
      <c r="FJ114" s="391">
        <v>0</v>
      </c>
      <c r="FK114" s="391" t="s">
        <v>1386</v>
      </c>
      <c r="FL114" s="31" t="s">
        <v>1387</v>
      </c>
      <c r="FN114" s="128" t="s">
        <v>1606</v>
      </c>
      <c r="FO114" s="128" t="s">
        <v>1607</v>
      </c>
      <c r="FP114" s="128"/>
    </row>
    <row r="115" spans="1:177" ht="22" hidden="1" customHeight="1" x14ac:dyDescent="0.2">
      <c r="A115" s="13" t="s">
        <v>10</v>
      </c>
      <c r="B115" s="14" t="s">
        <v>39</v>
      </c>
      <c r="C115" s="9" t="s">
        <v>1040</v>
      </c>
      <c r="D115" s="14" t="s">
        <v>1068</v>
      </c>
      <c r="E115" s="128" t="s">
        <v>137</v>
      </c>
      <c r="F115" s="15" t="s">
        <v>639</v>
      </c>
      <c r="G115" s="15" t="s">
        <v>635</v>
      </c>
      <c r="H115" s="91">
        <v>0</v>
      </c>
      <c r="I115" s="95">
        <f t="shared" si="123"/>
        <v>0</v>
      </c>
      <c r="J115" s="91"/>
      <c r="K115" s="256">
        <f t="shared" si="125"/>
        <v>0</v>
      </c>
      <c r="L115" s="101">
        <v>0</v>
      </c>
      <c r="M115" s="25"/>
      <c r="N115" s="89"/>
      <c r="O115" s="98" t="str">
        <f t="shared" si="119"/>
        <v>_x000D_- de l’aménagement forestier pour la restauration des écosystèmes dégradés visant à reboiser  325.000  hectares,  promouvoir  la  régénération  naturelle  assistée  et  la  lutte  contre  l’ensablement et renforcer la protection des aires protégées sur 9 millions d’hectares._x000D_-  du développement  d’une agriculture  intelligente et  résiliente aux  changements  climatiques,  pour l’aménagement hydro-agricole de 92,000 ha dans le contexte d’une gestion durable des  terres avec l’engagement de l’Etat à consacrer 15% du Budget national à l’agriculture_x000D_- de l’aménagement pastoral résilient aux changements climatiques visant la matérialisation de  3,300 km d’axes de transhumance afin de réduire les conflits entre agriculteurs et éleveurs, la  réalisation de 21 périmètres et aires pastorales d’une superficie totale de 400.000 ha ;_x000D__x000D_</v>
      </c>
      <c r="P115" s="144" t="str">
        <f>CONCATENATE(V115,R115,X115)</f>
        <v xml:space="preserve">_x000D_Le scénario de base  est mis en œuvre par des plantations forestières pour un coût total entre 2015  et 2030 de 1 229 millions $US Le scénario d’atténuation conditionnel est mis en œuvre par les mesures suivantes :_x000D__x000D_- Plantations forestières pour un coût de 10 719 millions $US_x000D_- Régénération naturelle assistée pour un coût de 1 531 millions $US_x000D_- Gestion des forêts classées et  des aires protégées pour un coût de 670 millions $US_x000D__x000D_ </v>
      </c>
      <c r="Q115" s="223" t="s">
        <v>986</v>
      </c>
      <c r="R115" s="64" t="s">
        <v>918</v>
      </c>
      <c r="S115" s="425"/>
      <c r="T115" s="300" t="s">
        <v>838</v>
      </c>
      <c r="U115" s="300" t="s">
        <v>889</v>
      </c>
      <c r="V115" s="317" t="s">
        <v>913</v>
      </c>
      <c r="W115" s="258">
        <v>1</v>
      </c>
      <c r="X115" s="307" t="s">
        <v>924</v>
      </c>
      <c r="Y115" s="297"/>
      <c r="Z115" s="426" t="s">
        <v>315</v>
      </c>
      <c r="AA115" s="320">
        <f t="shared" si="64"/>
        <v>1</v>
      </c>
      <c r="AB115" s="320">
        <f t="shared" si="72"/>
        <v>0</v>
      </c>
      <c r="AC115" s="320">
        <f t="shared" si="73"/>
        <v>0</v>
      </c>
      <c r="AD115" s="320">
        <f t="shared" si="74"/>
        <v>0</v>
      </c>
      <c r="AE115" s="320">
        <f t="shared" si="111"/>
        <v>1</v>
      </c>
      <c r="AF115" s="320">
        <f t="shared" si="75"/>
        <v>0</v>
      </c>
      <c r="AG115" s="320">
        <f t="shared" ref="AG115:AG146" si="129">IF(ISNUMBER(SEARCH("s",$Z115)),1,0)</f>
        <v>0</v>
      </c>
      <c r="AH115" s="427">
        <v>1</v>
      </c>
      <c r="AI115" s="320">
        <f t="shared" si="76"/>
        <v>1</v>
      </c>
      <c r="AJ115" s="320">
        <f t="shared" si="77"/>
        <v>0</v>
      </c>
      <c r="AK115" s="320">
        <f t="shared" si="78"/>
        <v>0</v>
      </c>
      <c r="AL115" s="320">
        <f t="shared" si="79"/>
        <v>0</v>
      </c>
      <c r="AM115" s="320">
        <f t="shared" si="80"/>
        <v>0</v>
      </c>
      <c r="AN115" s="320">
        <f t="shared" si="81"/>
        <v>0</v>
      </c>
      <c r="AO115" s="427">
        <v>1</v>
      </c>
      <c r="AP115" s="320">
        <f t="shared" si="112"/>
        <v>1</v>
      </c>
      <c r="AQ115" s="320">
        <f t="shared" si="82"/>
        <v>0</v>
      </c>
      <c r="AR115" s="320">
        <f t="shared" si="83"/>
        <v>0</v>
      </c>
      <c r="AS115" s="320">
        <f t="shared" si="84"/>
        <v>0</v>
      </c>
      <c r="AT115" s="320">
        <f t="shared" si="85"/>
        <v>0</v>
      </c>
      <c r="AU115" s="320">
        <f t="shared" si="86"/>
        <v>0</v>
      </c>
      <c r="AV115" s="427">
        <v>1</v>
      </c>
      <c r="AW115" s="320">
        <f t="shared" si="87"/>
        <v>1</v>
      </c>
      <c r="AX115" s="320">
        <f t="shared" si="88"/>
        <v>0</v>
      </c>
      <c r="AY115" s="320">
        <f t="shared" si="89"/>
        <v>0</v>
      </c>
      <c r="AZ115" s="320">
        <f t="shared" si="90"/>
        <v>0</v>
      </c>
      <c r="BA115" s="17">
        <v>1</v>
      </c>
      <c r="BB115" s="17" t="s">
        <v>838</v>
      </c>
      <c r="BC115" s="17">
        <v>1</v>
      </c>
      <c r="BD115" s="17">
        <v>1</v>
      </c>
      <c r="BE115" s="17">
        <v>0</v>
      </c>
      <c r="BF115" s="17" t="s">
        <v>818</v>
      </c>
      <c r="BG115" s="428">
        <f t="shared" si="65"/>
        <v>1</v>
      </c>
      <c r="BH115" s="17">
        <v>1</v>
      </c>
      <c r="BI115" s="17">
        <v>1</v>
      </c>
      <c r="BJ115" s="17" t="s">
        <v>889</v>
      </c>
      <c r="BK115" s="17"/>
      <c r="BL115" s="17">
        <v>1</v>
      </c>
      <c r="BM115" s="17" t="s">
        <v>1164</v>
      </c>
      <c r="BN115" s="320">
        <f t="shared" si="66"/>
        <v>1</v>
      </c>
      <c r="BO115" s="320">
        <f t="shared" si="117"/>
        <v>0</v>
      </c>
      <c r="BP115" s="427">
        <v>1</v>
      </c>
      <c r="BQ115" s="427" t="s">
        <v>1165</v>
      </c>
      <c r="BR115" s="320">
        <f t="shared" si="126"/>
        <v>1</v>
      </c>
      <c r="BS115" s="320">
        <v>0</v>
      </c>
      <c r="BT115" s="427">
        <v>1</v>
      </c>
      <c r="BU115" s="320">
        <f t="shared" si="92"/>
        <v>1</v>
      </c>
      <c r="BV115" s="320">
        <f t="shared" si="93"/>
        <v>0</v>
      </c>
      <c r="BW115" s="320">
        <f t="shared" si="114"/>
        <v>0</v>
      </c>
      <c r="BX115" s="427" t="s">
        <v>317</v>
      </c>
      <c r="BY115" s="320">
        <f t="shared" si="94"/>
        <v>1</v>
      </c>
      <c r="BZ115" s="320">
        <f t="shared" si="95"/>
        <v>1</v>
      </c>
      <c r="CA115" s="320">
        <f t="shared" si="127"/>
        <v>0</v>
      </c>
      <c r="CB115" s="320">
        <f t="shared" si="97"/>
        <v>0</v>
      </c>
      <c r="CC115" s="427">
        <v>0</v>
      </c>
      <c r="CD115" s="320">
        <f t="shared" si="98"/>
        <v>0</v>
      </c>
      <c r="CE115" s="320">
        <f t="shared" si="99"/>
        <v>0</v>
      </c>
      <c r="CF115" s="320">
        <f t="shared" si="100"/>
        <v>0</v>
      </c>
      <c r="CG115" s="320">
        <f t="shared" si="101"/>
        <v>0</v>
      </c>
      <c r="CH115" s="427">
        <v>1</v>
      </c>
      <c r="CI115" s="427">
        <v>0</v>
      </c>
      <c r="CJ115" s="427">
        <v>0</v>
      </c>
      <c r="CK115" s="427">
        <v>0</v>
      </c>
      <c r="CL115" s="320">
        <f t="shared" si="116"/>
        <v>0</v>
      </c>
      <c r="CM115" s="320">
        <f t="shared" si="102"/>
        <v>0</v>
      </c>
      <c r="CN115" s="320">
        <f t="shared" si="103"/>
        <v>0</v>
      </c>
      <c r="CO115" s="320">
        <f t="shared" si="104"/>
        <v>0</v>
      </c>
      <c r="CP115" s="427">
        <v>0</v>
      </c>
      <c r="CQ115" s="427" t="s">
        <v>317</v>
      </c>
      <c r="CR115" s="320">
        <f t="shared" si="105"/>
        <v>1</v>
      </c>
      <c r="CS115" s="320">
        <f t="shared" si="115"/>
        <v>0</v>
      </c>
      <c r="CT115" s="320">
        <f t="shared" si="120"/>
        <v>1</v>
      </c>
      <c r="CU115" s="320">
        <f t="shared" si="121"/>
        <v>0</v>
      </c>
      <c r="CV115" s="427">
        <v>0</v>
      </c>
      <c r="CW115" s="17">
        <v>0</v>
      </c>
      <c r="CX115" s="320">
        <f t="shared" si="122"/>
        <v>0</v>
      </c>
      <c r="CY115" s="320">
        <f t="shared" si="107"/>
        <v>0</v>
      </c>
      <c r="CZ115" s="320">
        <f t="shared" si="108"/>
        <v>0</v>
      </c>
      <c r="DA115" s="17"/>
      <c r="DB115" s="17"/>
      <c r="DC115" s="17"/>
      <c r="DD115" s="31"/>
      <c r="DE115" s="323" t="s">
        <v>392</v>
      </c>
      <c r="DF115" s="323" t="s">
        <v>392</v>
      </c>
      <c r="DG115" s="323" t="s">
        <v>392</v>
      </c>
      <c r="DH115" s="323" t="s">
        <v>392</v>
      </c>
      <c r="DI115" s="323"/>
      <c r="DJ115" s="323">
        <v>1</v>
      </c>
      <c r="DK115" s="323">
        <v>1</v>
      </c>
      <c r="DL115" s="323">
        <v>1</v>
      </c>
      <c r="DM115" s="323">
        <v>1</v>
      </c>
      <c r="DN115" s="323" t="s">
        <v>387</v>
      </c>
      <c r="DO115" s="323" t="s">
        <v>821</v>
      </c>
      <c r="DP115" s="324">
        <v>1</v>
      </c>
      <c r="DQ115" s="291"/>
      <c r="DR115" s="239">
        <f>SUM(DS115:DX115)/6</f>
        <v>0.35706521739130431</v>
      </c>
      <c r="DS115" s="429">
        <f t="shared" si="109"/>
        <v>0.21739130434782608</v>
      </c>
      <c r="DT115" s="448">
        <f>SUM(BA115:BE115,BG115)/5</f>
        <v>0.8</v>
      </c>
      <c r="DU115" s="429">
        <f>SUM(BI115,BO115,BS115,BU115:BW115)/6</f>
        <v>0.33333333333333331</v>
      </c>
      <c r="DV115" s="429">
        <f>SUM(BY115-CB115,CD115-CG115)/8</f>
        <v>0.125</v>
      </c>
      <c r="DW115" s="429">
        <f>SUM(CH115:CJ115,CL115:CO115,BN115,BR115)/9</f>
        <v>0.33333333333333331</v>
      </c>
      <c r="DX115" s="429">
        <f>SUM(CP115,CR115:CV115)/6</f>
        <v>0.33333333333333331</v>
      </c>
      <c r="DY115" s="429"/>
      <c r="DZ115" s="134"/>
      <c r="EA115" s="135"/>
      <c r="EB115" s="135"/>
      <c r="EC115" s="135"/>
      <c r="ED115" s="124"/>
      <c r="EH115" s="184"/>
      <c r="EI115" s="188"/>
      <c r="EJ115" s="180" t="b">
        <f t="shared" si="110"/>
        <v>0</v>
      </c>
      <c r="EK115" s="181"/>
      <c r="EL115" s="181"/>
      <c r="EM115" s="181"/>
      <c r="EN115" s="463"/>
      <c r="EO115" s="463"/>
      <c r="EP115" s="463"/>
      <c r="EQ115" s="189"/>
      <c r="ER115" s="464"/>
      <c r="ES115" s="465"/>
      <c r="ET115" s="465"/>
      <c r="EU115" s="465"/>
      <c r="EV115" s="466"/>
      <c r="EZ115" s="393" t="s">
        <v>137</v>
      </c>
      <c r="FA115" s="393" t="s">
        <v>137</v>
      </c>
      <c r="FB115" s="389">
        <v>6690</v>
      </c>
      <c r="FC115" s="389">
        <v>5900</v>
      </c>
      <c r="FD115" s="389">
        <v>5505</v>
      </c>
      <c r="FE115" s="389">
        <v>5110</v>
      </c>
      <c r="FF115" s="389">
        <v>4715</v>
      </c>
      <c r="FG115" s="390">
        <v>-1.3389830508474577E-2</v>
      </c>
      <c r="FH115" s="390">
        <v>-1.4350590372388738E-2</v>
      </c>
      <c r="FI115" s="390">
        <v>-1.5459882583170253E-2</v>
      </c>
      <c r="FJ115" s="391">
        <v>7.7299412915851143E-2</v>
      </c>
      <c r="FK115" s="391" t="s">
        <v>1386</v>
      </c>
      <c r="FL115" s="31" t="s">
        <v>1379</v>
      </c>
      <c r="FN115" s="128" t="s">
        <v>1608</v>
      </c>
      <c r="FO115" s="128" t="s">
        <v>1609</v>
      </c>
      <c r="FP115" s="128"/>
    </row>
    <row r="116" spans="1:177" ht="22" customHeight="1" x14ac:dyDescent="0.2">
      <c r="A116" s="13" t="s">
        <v>7</v>
      </c>
      <c r="B116" s="14" t="s">
        <v>8</v>
      </c>
      <c r="C116" s="14"/>
      <c r="D116" s="14"/>
      <c r="E116" s="215" t="s">
        <v>138</v>
      </c>
      <c r="F116" s="15" t="s">
        <v>1357</v>
      </c>
      <c r="G116" s="15" t="s">
        <v>634</v>
      </c>
      <c r="H116" s="91">
        <f>IF(G116="YES",0,1)</f>
        <v>1</v>
      </c>
      <c r="I116" s="95">
        <f t="shared" si="123"/>
        <v>0</v>
      </c>
      <c r="J116" s="91"/>
      <c r="K116" s="256">
        <f t="shared" si="125"/>
        <v>1</v>
      </c>
      <c r="L116" s="257">
        <v>0</v>
      </c>
      <c r="M116" s="162"/>
      <c r="N116" s="155">
        <v>0</v>
      </c>
      <c r="O116" s="158" t="str">
        <f t="shared" si="119"/>
        <v>N/A or not found_x000D__x000D_</v>
      </c>
      <c r="P116" s="98" t="str">
        <f>CONCATENATE(V116,R116,X116)</f>
        <v>N/A or not found_x000D__x000D_</v>
      </c>
      <c r="Q116" s="360" t="s">
        <v>925</v>
      </c>
      <c r="R116" s="64" t="s">
        <v>918</v>
      </c>
      <c r="S116" s="432"/>
      <c r="T116" s="302" t="s">
        <v>851</v>
      </c>
      <c r="U116" s="302" t="s">
        <v>1106</v>
      </c>
      <c r="V116" s="300" t="s">
        <v>925</v>
      </c>
      <c r="W116" s="258"/>
      <c r="X116" s="301"/>
      <c r="Y116" s="295"/>
      <c r="Z116" s="426" t="s">
        <v>811</v>
      </c>
      <c r="AA116" s="320">
        <f t="shared" si="64"/>
        <v>1</v>
      </c>
      <c r="AB116" s="320">
        <f t="shared" si="72"/>
        <v>1</v>
      </c>
      <c r="AC116" s="320">
        <f t="shared" si="73"/>
        <v>1</v>
      </c>
      <c r="AD116" s="320">
        <f t="shared" si="74"/>
        <v>0</v>
      </c>
      <c r="AE116" s="320">
        <f t="shared" si="111"/>
        <v>1</v>
      </c>
      <c r="AF116" s="320">
        <f t="shared" si="75"/>
        <v>0</v>
      </c>
      <c r="AG116" s="320">
        <f t="shared" si="129"/>
        <v>1</v>
      </c>
      <c r="AH116" s="427">
        <v>0</v>
      </c>
      <c r="AI116" s="320">
        <f t="shared" si="76"/>
        <v>0</v>
      </c>
      <c r="AJ116" s="320">
        <f t="shared" si="77"/>
        <v>0</v>
      </c>
      <c r="AK116" s="320">
        <f t="shared" si="78"/>
        <v>0</v>
      </c>
      <c r="AL116" s="320">
        <f t="shared" si="79"/>
        <v>0</v>
      </c>
      <c r="AM116" s="320">
        <f t="shared" si="80"/>
        <v>0</v>
      </c>
      <c r="AN116" s="320">
        <f t="shared" si="81"/>
        <v>0</v>
      </c>
      <c r="AO116" s="427">
        <v>0</v>
      </c>
      <c r="AP116" s="320">
        <f t="shared" si="112"/>
        <v>0</v>
      </c>
      <c r="AQ116" s="320">
        <f t="shared" si="82"/>
        <v>0</v>
      </c>
      <c r="AR116" s="320">
        <f t="shared" si="83"/>
        <v>0</v>
      </c>
      <c r="AS116" s="320">
        <f t="shared" si="84"/>
        <v>0</v>
      </c>
      <c r="AT116" s="320">
        <f t="shared" si="85"/>
        <v>0</v>
      </c>
      <c r="AU116" s="320">
        <f t="shared" si="86"/>
        <v>0</v>
      </c>
      <c r="AV116" s="427">
        <v>0</v>
      </c>
      <c r="AW116" s="320">
        <f t="shared" si="87"/>
        <v>0</v>
      </c>
      <c r="AX116" s="320">
        <f t="shared" si="88"/>
        <v>0</v>
      </c>
      <c r="AY116" s="320">
        <f t="shared" si="89"/>
        <v>0</v>
      </c>
      <c r="AZ116" s="320">
        <f t="shared" si="90"/>
        <v>0</v>
      </c>
      <c r="BA116" s="17">
        <v>1</v>
      </c>
      <c r="BB116" s="17" t="s">
        <v>851</v>
      </c>
      <c r="BC116" s="17">
        <v>1</v>
      </c>
      <c r="BD116" s="17">
        <v>1</v>
      </c>
      <c r="BE116" s="17">
        <v>1</v>
      </c>
      <c r="BF116" s="17">
        <v>1</v>
      </c>
      <c r="BG116" s="428">
        <f t="shared" si="65"/>
        <v>1</v>
      </c>
      <c r="BH116" s="17">
        <v>1</v>
      </c>
      <c r="BI116" s="17">
        <v>1</v>
      </c>
      <c r="BJ116" s="17" t="s">
        <v>1191</v>
      </c>
      <c r="BK116" s="17">
        <v>1</v>
      </c>
      <c r="BL116" s="17">
        <v>0</v>
      </c>
      <c r="BM116" s="17" t="s">
        <v>834</v>
      </c>
      <c r="BN116" s="320">
        <f t="shared" si="66"/>
        <v>0</v>
      </c>
      <c r="BO116" s="320">
        <f t="shared" si="117"/>
        <v>0</v>
      </c>
      <c r="BP116" s="427">
        <v>0</v>
      </c>
      <c r="BQ116" s="427" t="s">
        <v>834</v>
      </c>
      <c r="BR116" s="320">
        <f t="shared" si="126"/>
        <v>0</v>
      </c>
      <c r="BS116" s="320">
        <f>IF(ISNUMBER(SEARCH("1",$BP116)),1,0)</f>
        <v>0</v>
      </c>
      <c r="BT116" s="427">
        <v>0</v>
      </c>
      <c r="BU116" s="320">
        <f t="shared" si="92"/>
        <v>0</v>
      </c>
      <c r="BV116" s="320">
        <f t="shared" si="93"/>
        <v>0</v>
      </c>
      <c r="BW116" s="320">
        <f t="shared" si="114"/>
        <v>0</v>
      </c>
      <c r="BX116" s="427">
        <v>1</v>
      </c>
      <c r="BY116" s="320">
        <v>0</v>
      </c>
      <c r="BZ116" s="320">
        <f t="shared" si="95"/>
        <v>0</v>
      </c>
      <c r="CA116" s="320">
        <f t="shared" si="127"/>
        <v>0</v>
      </c>
      <c r="CB116" s="320">
        <v>0</v>
      </c>
      <c r="CC116" s="427">
        <v>1</v>
      </c>
      <c r="CD116" s="320">
        <f t="shared" si="98"/>
        <v>1</v>
      </c>
      <c r="CE116" s="320">
        <f t="shared" si="99"/>
        <v>0</v>
      </c>
      <c r="CF116" s="320">
        <f t="shared" si="100"/>
        <v>0</v>
      </c>
      <c r="CG116" s="320">
        <f t="shared" si="101"/>
        <v>0</v>
      </c>
      <c r="CH116" s="427">
        <v>0</v>
      </c>
      <c r="CI116" s="427">
        <v>0</v>
      </c>
      <c r="CJ116" s="427">
        <v>0</v>
      </c>
      <c r="CK116" s="427">
        <v>1</v>
      </c>
      <c r="CL116" s="320">
        <f t="shared" si="116"/>
        <v>1</v>
      </c>
      <c r="CM116" s="320">
        <f t="shared" si="102"/>
        <v>0</v>
      </c>
      <c r="CN116" s="320">
        <f t="shared" si="103"/>
        <v>0</v>
      </c>
      <c r="CO116" s="320">
        <f t="shared" si="104"/>
        <v>0</v>
      </c>
      <c r="CP116" s="427">
        <v>1</v>
      </c>
      <c r="CQ116" s="427" t="s">
        <v>221</v>
      </c>
      <c r="CR116" s="320">
        <f t="shared" si="105"/>
        <v>1</v>
      </c>
      <c r="CS116" s="320">
        <f t="shared" si="115"/>
        <v>1</v>
      </c>
      <c r="CT116" s="320">
        <f t="shared" si="120"/>
        <v>0</v>
      </c>
      <c r="CU116" s="320">
        <f t="shared" si="121"/>
        <v>0</v>
      </c>
      <c r="CV116" s="427">
        <v>0</v>
      </c>
      <c r="CW116" s="17">
        <v>0</v>
      </c>
      <c r="CX116" s="320">
        <f t="shared" si="122"/>
        <v>0</v>
      </c>
      <c r="CY116" s="320">
        <f t="shared" si="107"/>
        <v>0</v>
      </c>
      <c r="CZ116" s="320">
        <f t="shared" si="108"/>
        <v>0</v>
      </c>
      <c r="DA116" s="17">
        <v>0</v>
      </c>
      <c r="DB116" s="17">
        <v>0</v>
      </c>
      <c r="DC116" s="17">
        <v>0</v>
      </c>
      <c r="DD116" s="31"/>
      <c r="DE116" s="346" t="s">
        <v>388</v>
      </c>
      <c r="DF116" s="346" t="s">
        <v>388</v>
      </c>
      <c r="DG116" s="346" t="s">
        <v>388</v>
      </c>
      <c r="DH116" s="346" t="s">
        <v>388</v>
      </c>
      <c r="DI116" s="346" t="s">
        <v>388</v>
      </c>
      <c r="DJ116" s="346" t="s">
        <v>388</v>
      </c>
      <c r="DK116" s="354" t="s">
        <v>1110</v>
      </c>
      <c r="DL116" s="346" t="s">
        <v>388</v>
      </c>
      <c r="DM116" s="346" t="s">
        <v>388</v>
      </c>
      <c r="DN116" s="346" t="s">
        <v>388</v>
      </c>
      <c r="DO116" s="346" t="s">
        <v>388</v>
      </c>
      <c r="DP116" s="348">
        <v>1</v>
      </c>
      <c r="DQ116" s="384"/>
      <c r="DR116" s="239">
        <f>SUM(DS116:DX116)/6</f>
        <v>0.35336151368760066</v>
      </c>
      <c r="DS116" s="429">
        <f t="shared" si="109"/>
        <v>0.21739130434782608</v>
      </c>
      <c r="DT116" s="429">
        <f>SUM(BA116:BE116,BG116)/5</f>
        <v>1</v>
      </c>
      <c r="DU116" s="429">
        <f>SUM(BI116,BO116,BS116,BU116:BW116)/6</f>
        <v>0.16666666666666666</v>
      </c>
      <c r="DV116" s="429">
        <f>SUM(BY116-CB116,CD116-CG116)/8</f>
        <v>0.125</v>
      </c>
      <c r="DW116" s="429">
        <f>SUM(CH116:CJ116,CL116:CO116,BN116,BR116)/9</f>
        <v>0.1111111111111111</v>
      </c>
      <c r="DX116" s="429">
        <f>SUM(CP116,CR116:CV116)/6</f>
        <v>0.5</v>
      </c>
      <c r="DY116" s="456"/>
      <c r="DZ116" s="135"/>
      <c r="EA116" s="135"/>
      <c r="EB116" s="135"/>
      <c r="EC116" s="135"/>
      <c r="ED116" s="124"/>
      <c r="EH116" s="44">
        <v>0</v>
      </c>
      <c r="EI116" s="45"/>
      <c r="EJ116" s="33" t="b">
        <f t="shared" si="110"/>
        <v>0</v>
      </c>
      <c r="EK116" s="42"/>
      <c r="EL116" s="42"/>
      <c r="EM116" s="42"/>
      <c r="EN116" s="439"/>
      <c r="EO116" s="439"/>
      <c r="EP116" s="439"/>
      <c r="EQ116" s="38"/>
      <c r="ER116" s="440"/>
      <c r="ES116" s="431"/>
      <c r="ET116" s="431"/>
      <c r="EU116" s="431"/>
      <c r="EV116" s="447"/>
      <c r="EZ116" s="393" t="s">
        <v>138</v>
      </c>
      <c r="FA116" s="393" t="s">
        <v>138</v>
      </c>
      <c r="FB116" s="389">
        <v>0.34699999999999998</v>
      </c>
      <c r="FC116" s="389">
        <v>0.34699999999999998</v>
      </c>
      <c r="FD116" s="389">
        <v>0.34699999999999998</v>
      </c>
      <c r="FE116" s="389">
        <v>0.34699999999999998</v>
      </c>
      <c r="FF116" s="389">
        <v>0.34699999999999998</v>
      </c>
      <c r="FG116" s="390">
        <v>0</v>
      </c>
      <c r="FH116" s="390">
        <v>0</v>
      </c>
      <c r="FI116" s="390">
        <v>0</v>
      </c>
      <c r="FJ116" s="391">
        <v>0</v>
      </c>
      <c r="FK116" s="391" t="s">
        <v>1386</v>
      </c>
      <c r="FL116" s="31" t="s">
        <v>1387</v>
      </c>
      <c r="FN116" s="215" t="s">
        <v>1610</v>
      </c>
      <c r="FO116" s="215" t="s">
        <v>1611</v>
      </c>
      <c r="FP116" s="215" t="s">
        <v>1346</v>
      </c>
      <c r="FR116" s="402">
        <v>1</v>
      </c>
      <c r="FS116" s="402">
        <v>0</v>
      </c>
      <c r="FT116" s="402">
        <v>1</v>
      </c>
      <c r="FU116" s="402">
        <v>1</v>
      </c>
    </row>
    <row r="117" spans="1:177" ht="22" hidden="1" customHeight="1" x14ac:dyDescent="0.2">
      <c r="A117" s="13" t="s">
        <v>24</v>
      </c>
      <c r="B117" s="14" t="s">
        <v>121</v>
      </c>
      <c r="C117" s="14"/>
      <c r="D117" s="14"/>
      <c r="E117" s="128" t="s">
        <v>139</v>
      </c>
      <c r="F117" s="15"/>
      <c r="G117" s="15" t="s">
        <v>634</v>
      </c>
      <c r="H117" s="91">
        <f>IF(G117="YES",0,1)</f>
        <v>1</v>
      </c>
      <c r="I117" s="95">
        <f t="shared" si="123"/>
        <v>0</v>
      </c>
      <c r="J117" s="91"/>
      <c r="K117" s="256">
        <f t="shared" si="125"/>
        <v>1</v>
      </c>
      <c r="L117" s="101">
        <v>0</v>
      </c>
      <c r="M117" s="99"/>
      <c r="N117" s="89"/>
      <c r="O117" s="98" t="str">
        <f t="shared" si="119"/>
        <v>_x000D__x000D_</v>
      </c>
      <c r="P117" s="98"/>
      <c r="Q117" s="55"/>
      <c r="R117" s="64" t="s">
        <v>918</v>
      </c>
      <c r="S117" s="425"/>
      <c r="T117" s="300" t="s">
        <v>834</v>
      </c>
      <c r="U117" s="300" t="s">
        <v>834</v>
      </c>
      <c r="V117" s="300" t="s">
        <v>834</v>
      </c>
      <c r="W117" s="258"/>
      <c r="X117" s="307" t="s">
        <v>834</v>
      </c>
      <c r="Y117" s="274"/>
      <c r="Z117" s="426"/>
      <c r="AA117" s="320">
        <f t="shared" ref="AA117:AA146" si="130">IF(ISNUMBER(SEARCH("1",$Z117)),1,0)</f>
        <v>0</v>
      </c>
      <c r="AB117" s="320">
        <f t="shared" si="72"/>
        <v>0</v>
      </c>
      <c r="AC117" s="320">
        <f t="shared" si="73"/>
        <v>0</v>
      </c>
      <c r="AD117" s="320">
        <f t="shared" si="74"/>
        <v>0</v>
      </c>
      <c r="AE117" s="320">
        <f t="shared" si="111"/>
        <v>0</v>
      </c>
      <c r="AF117" s="320">
        <f t="shared" si="75"/>
        <v>0</v>
      </c>
      <c r="AG117" s="320">
        <f t="shared" si="129"/>
        <v>0</v>
      </c>
      <c r="AH117" s="427"/>
      <c r="AI117" s="320">
        <f t="shared" si="76"/>
        <v>0</v>
      </c>
      <c r="AJ117" s="320">
        <f t="shared" si="77"/>
        <v>0</v>
      </c>
      <c r="AK117" s="320">
        <f t="shared" si="78"/>
        <v>0</v>
      </c>
      <c r="AL117" s="320">
        <f t="shared" si="79"/>
        <v>0</v>
      </c>
      <c r="AM117" s="320">
        <f t="shared" si="80"/>
        <v>0</v>
      </c>
      <c r="AN117" s="320">
        <f t="shared" si="81"/>
        <v>0</v>
      </c>
      <c r="AO117" s="427"/>
      <c r="AP117" s="320">
        <f t="shared" si="112"/>
        <v>0</v>
      </c>
      <c r="AQ117" s="320">
        <f t="shared" si="82"/>
        <v>0</v>
      </c>
      <c r="AR117" s="320">
        <f t="shared" si="83"/>
        <v>0</v>
      </c>
      <c r="AS117" s="320">
        <f t="shared" si="84"/>
        <v>0</v>
      </c>
      <c r="AT117" s="320">
        <f t="shared" si="85"/>
        <v>0</v>
      </c>
      <c r="AU117" s="320">
        <f t="shared" si="86"/>
        <v>0</v>
      </c>
      <c r="AV117" s="427"/>
      <c r="AW117" s="320">
        <f t="shared" si="87"/>
        <v>0</v>
      </c>
      <c r="AX117" s="320">
        <f t="shared" si="88"/>
        <v>0</v>
      </c>
      <c r="AY117" s="320">
        <f t="shared" si="89"/>
        <v>0</v>
      </c>
      <c r="AZ117" s="320">
        <f t="shared" si="90"/>
        <v>0</v>
      </c>
      <c r="BA117" s="17"/>
      <c r="BB117" s="17" t="s">
        <v>834</v>
      </c>
      <c r="BC117" s="17"/>
      <c r="BD117" s="17"/>
      <c r="BE117" s="17"/>
      <c r="BF117" s="17"/>
      <c r="BG117" s="428">
        <f t="shared" ref="BG117:BG146" si="131">IF(BF117&gt;0,1,0)</f>
        <v>0</v>
      </c>
      <c r="BH117" s="17"/>
      <c r="BI117" s="17"/>
      <c r="BJ117" s="17"/>
      <c r="BK117" s="17"/>
      <c r="BL117" s="17"/>
      <c r="BM117" s="17"/>
      <c r="BN117" s="320">
        <f t="shared" ref="BN117:BN146" si="132">IF(ISNUMBER(SEARCH("1",$BL117)),1,0)</f>
        <v>0</v>
      </c>
      <c r="BO117" s="320">
        <f t="shared" si="117"/>
        <v>0</v>
      </c>
      <c r="BP117" s="427"/>
      <c r="BQ117" s="427"/>
      <c r="BR117" s="320">
        <f t="shared" si="126"/>
        <v>0</v>
      </c>
      <c r="BS117" s="320">
        <f>IF(ISNUMBER(SEARCH("1",$BP117)),1,0)</f>
        <v>0</v>
      </c>
      <c r="BT117" s="427"/>
      <c r="BU117" s="320">
        <f t="shared" si="92"/>
        <v>0</v>
      </c>
      <c r="BV117" s="320">
        <f t="shared" si="93"/>
        <v>0</v>
      </c>
      <c r="BW117" s="320">
        <f t="shared" si="114"/>
        <v>0</v>
      </c>
      <c r="BX117" s="427"/>
      <c r="BY117" s="320">
        <f t="shared" ref="BY117:BY180" si="133">IF(ISNUMBER(SEARCH("1",$BX117)),1,0)</f>
        <v>0</v>
      </c>
      <c r="BZ117" s="320">
        <f t="shared" si="95"/>
        <v>0</v>
      </c>
      <c r="CA117" s="320">
        <f t="shared" si="127"/>
        <v>0</v>
      </c>
      <c r="CB117" s="320">
        <f t="shared" ref="CB117:CB180" si="134">IF(ISNUMBER(SEARCH("s",$BX117)),1,0)</f>
        <v>0</v>
      </c>
      <c r="CC117" s="427"/>
      <c r="CD117" s="320">
        <f t="shared" si="98"/>
        <v>0</v>
      </c>
      <c r="CE117" s="320">
        <f t="shared" si="99"/>
        <v>0</v>
      </c>
      <c r="CF117" s="320">
        <f t="shared" si="100"/>
        <v>0</v>
      </c>
      <c r="CG117" s="320">
        <f t="shared" si="101"/>
        <v>0</v>
      </c>
      <c r="CH117" s="427"/>
      <c r="CI117" s="427"/>
      <c r="CJ117" s="427"/>
      <c r="CK117" s="427"/>
      <c r="CL117" s="320">
        <f t="shared" si="116"/>
        <v>0</v>
      </c>
      <c r="CM117" s="320">
        <f t="shared" si="102"/>
        <v>0</v>
      </c>
      <c r="CN117" s="320">
        <f t="shared" si="103"/>
        <v>0</v>
      </c>
      <c r="CO117" s="320">
        <f t="shared" si="104"/>
        <v>0</v>
      </c>
      <c r="CP117" s="427"/>
      <c r="CQ117" s="427"/>
      <c r="CR117" s="320">
        <f t="shared" si="105"/>
        <v>0</v>
      </c>
      <c r="CS117" s="320">
        <f t="shared" si="115"/>
        <v>0</v>
      </c>
      <c r="CT117" s="320">
        <f t="shared" si="120"/>
        <v>0</v>
      </c>
      <c r="CU117" s="320">
        <f t="shared" si="121"/>
        <v>0</v>
      </c>
      <c r="CV117" s="427"/>
      <c r="CW117" s="17"/>
      <c r="CX117" s="320">
        <f t="shared" si="122"/>
        <v>0</v>
      </c>
      <c r="CY117" s="320">
        <f t="shared" si="107"/>
        <v>0</v>
      </c>
      <c r="CZ117" s="320">
        <f t="shared" si="108"/>
        <v>0</v>
      </c>
      <c r="DA117" s="17"/>
      <c r="DB117" s="17"/>
      <c r="DC117" s="17"/>
      <c r="DD117" s="31"/>
      <c r="DE117" s="323"/>
      <c r="DF117" s="323"/>
      <c r="DG117" s="323"/>
      <c r="DH117" s="323"/>
      <c r="DI117" s="323"/>
      <c r="DJ117" s="323"/>
      <c r="DK117" s="323"/>
      <c r="DL117" s="323"/>
      <c r="DM117" s="323"/>
      <c r="DN117" s="323"/>
      <c r="DO117" s="323"/>
      <c r="DP117" s="324"/>
      <c r="DQ117" s="288"/>
      <c r="DR117" s="242"/>
      <c r="DS117" s="429">
        <f t="shared" si="109"/>
        <v>0</v>
      </c>
      <c r="DT117" s="429">
        <f>SUM(BA117:BF117)/5</f>
        <v>0</v>
      </c>
      <c r="DU117" s="429"/>
      <c r="DV117" s="429"/>
      <c r="DW117" s="429"/>
      <c r="DX117" s="429"/>
      <c r="DY117" s="429"/>
      <c r="DZ117" s="134"/>
      <c r="EA117" s="134"/>
      <c r="EB117" s="134"/>
      <c r="EC117" s="134"/>
      <c r="ED117" s="123"/>
      <c r="EH117" s="46"/>
      <c r="EI117" s="45"/>
      <c r="EJ117" s="33" t="b">
        <f t="shared" si="110"/>
        <v>0</v>
      </c>
      <c r="EK117" s="42"/>
      <c r="EL117" s="42"/>
      <c r="EM117" s="42"/>
      <c r="EN117" s="439"/>
      <c r="EO117" s="439"/>
      <c r="EP117" s="439"/>
      <c r="EQ117" s="47"/>
      <c r="ER117" s="440"/>
      <c r="ES117" s="431"/>
      <c r="ET117" s="431"/>
      <c r="EU117" s="431"/>
      <c r="EV117" s="447"/>
      <c r="EZ117" s="393" t="s">
        <v>139</v>
      </c>
      <c r="FA117" s="393" t="s">
        <v>139</v>
      </c>
      <c r="FB117" s="389">
        <v>12.635999999999999</v>
      </c>
      <c r="FC117" s="389">
        <v>12.635999999999999</v>
      </c>
      <c r="FD117" s="389">
        <v>12.635999999999999</v>
      </c>
      <c r="FE117" s="389">
        <v>12.635999999999999</v>
      </c>
      <c r="FF117" s="389">
        <v>12.635999999999999</v>
      </c>
      <c r="FG117" s="390">
        <v>0</v>
      </c>
      <c r="FH117" s="390">
        <v>0</v>
      </c>
      <c r="FI117" s="390">
        <v>0</v>
      </c>
      <c r="FJ117" s="391">
        <v>0</v>
      </c>
      <c r="FK117" s="391" t="s">
        <v>1386</v>
      </c>
      <c r="FL117" s="31" t="s">
        <v>1387</v>
      </c>
      <c r="FN117" s="128" t="s">
        <v>1612</v>
      </c>
      <c r="FO117" s="128" t="s">
        <v>1613</v>
      </c>
      <c r="FP117" s="128"/>
    </row>
    <row r="118" spans="1:177" ht="22" hidden="1" customHeight="1" x14ac:dyDescent="0.2">
      <c r="A118" s="13" t="s">
        <v>10</v>
      </c>
      <c r="B118" s="14" t="s">
        <v>39</v>
      </c>
      <c r="C118" s="14"/>
      <c r="D118" s="14" t="s">
        <v>1068</v>
      </c>
      <c r="E118" s="128" t="s">
        <v>140</v>
      </c>
      <c r="F118" s="15" t="s">
        <v>639</v>
      </c>
      <c r="G118" s="15" t="s">
        <v>635</v>
      </c>
      <c r="H118" s="91">
        <v>0</v>
      </c>
      <c r="I118" s="95">
        <f t="shared" si="123"/>
        <v>0</v>
      </c>
      <c r="J118" s="91"/>
      <c r="K118" s="256">
        <f t="shared" si="125"/>
        <v>0</v>
      </c>
      <c r="L118" s="101">
        <v>0</v>
      </c>
      <c r="M118" s="25"/>
      <c r="N118" s="89"/>
      <c r="O118" s="98" t="str">
        <f t="shared" si="119"/>
        <v>_x000D__x000D_</v>
      </c>
      <c r="P118" s="144" t="str">
        <f>CONCATENATE(V118,R118,X118)</f>
        <v>N/A or not found_x000D__x000D__x000D_Un ensemencement aerien des terres degradees.</v>
      </c>
      <c r="Q118" s="55"/>
      <c r="R118" s="64" t="s">
        <v>918</v>
      </c>
      <c r="S118" s="425"/>
      <c r="T118" s="300" t="s">
        <v>907</v>
      </c>
      <c r="U118" s="300" t="s">
        <v>907</v>
      </c>
      <c r="V118" s="315" t="s">
        <v>925</v>
      </c>
      <c r="W118" s="258">
        <v>0</v>
      </c>
      <c r="X118" s="307" t="s">
        <v>974</v>
      </c>
      <c r="Y118" s="297"/>
      <c r="Z118" s="426" t="s">
        <v>315</v>
      </c>
      <c r="AA118" s="320">
        <f t="shared" si="130"/>
        <v>1</v>
      </c>
      <c r="AB118" s="320">
        <f t="shared" si="72"/>
        <v>0</v>
      </c>
      <c r="AC118" s="320">
        <f t="shared" si="73"/>
        <v>0</v>
      </c>
      <c r="AD118" s="320">
        <f t="shared" si="74"/>
        <v>0</v>
      </c>
      <c r="AE118" s="320">
        <f t="shared" si="111"/>
        <v>1</v>
      </c>
      <c r="AF118" s="320">
        <f t="shared" si="75"/>
        <v>0</v>
      </c>
      <c r="AG118" s="320">
        <f t="shared" si="129"/>
        <v>0</v>
      </c>
      <c r="AH118" s="427">
        <v>1</v>
      </c>
      <c r="AI118" s="320">
        <f t="shared" si="76"/>
        <v>1</v>
      </c>
      <c r="AJ118" s="320">
        <f t="shared" si="77"/>
        <v>0</v>
      </c>
      <c r="AK118" s="320">
        <f t="shared" si="78"/>
        <v>0</v>
      </c>
      <c r="AL118" s="320">
        <f t="shared" si="79"/>
        <v>0</v>
      </c>
      <c r="AM118" s="320">
        <f t="shared" si="80"/>
        <v>0</v>
      </c>
      <c r="AN118" s="320">
        <f t="shared" si="81"/>
        <v>0</v>
      </c>
      <c r="AO118" s="427">
        <v>1</v>
      </c>
      <c r="AP118" s="320">
        <f t="shared" si="112"/>
        <v>1</v>
      </c>
      <c r="AQ118" s="320">
        <f t="shared" si="82"/>
        <v>0</v>
      </c>
      <c r="AR118" s="320">
        <f t="shared" si="83"/>
        <v>0</v>
      </c>
      <c r="AS118" s="320">
        <f t="shared" si="84"/>
        <v>0</v>
      </c>
      <c r="AT118" s="320">
        <f t="shared" si="85"/>
        <v>0</v>
      </c>
      <c r="AU118" s="320">
        <f t="shared" si="86"/>
        <v>0</v>
      </c>
      <c r="AV118" s="427">
        <v>1</v>
      </c>
      <c r="AW118" s="320">
        <f t="shared" si="87"/>
        <v>1</v>
      </c>
      <c r="AX118" s="320">
        <f t="shared" si="88"/>
        <v>0</v>
      </c>
      <c r="AY118" s="320">
        <f t="shared" si="89"/>
        <v>0</v>
      </c>
      <c r="AZ118" s="320">
        <f t="shared" si="90"/>
        <v>0</v>
      </c>
      <c r="BA118" s="17">
        <v>0</v>
      </c>
      <c r="BB118" s="17" t="s">
        <v>839</v>
      </c>
      <c r="BC118" s="17">
        <v>0</v>
      </c>
      <c r="BD118" s="17">
        <v>0</v>
      </c>
      <c r="BE118" s="17">
        <v>0</v>
      </c>
      <c r="BF118" s="17">
        <v>0</v>
      </c>
      <c r="BG118" s="428">
        <f t="shared" si="131"/>
        <v>0</v>
      </c>
      <c r="BH118" s="17">
        <v>0</v>
      </c>
      <c r="BI118" s="17">
        <v>1</v>
      </c>
      <c r="BJ118" s="17" t="s">
        <v>907</v>
      </c>
      <c r="BK118" s="17"/>
      <c r="BL118" s="17">
        <v>0</v>
      </c>
      <c r="BM118" s="17" t="s">
        <v>834</v>
      </c>
      <c r="BN118" s="320">
        <f t="shared" si="132"/>
        <v>0</v>
      </c>
      <c r="BO118" s="320">
        <f t="shared" si="117"/>
        <v>0</v>
      </c>
      <c r="BP118" s="427">
        <v>1</v>
      </c>
      <c r="BQ118" s="427" t="s">
        <v>1190</v>
      </c>
      <c r="BR118" s="320">
        <f t="shared" si="126"/>
        <v>1</v>
      </c>
      <c r="BS118" s="320">
        <v>0</v>
      </c>
      <c r="BT118" s="427">
        <v>1</v>
      </c>
      <c r="BU118" s="320">
        <f t="shared" si="92"/>
        <v>1</v>
      </c>
      <c r="BV118" s="320">
        <f t="shared" si="93"/>
        <v>0</v>
      </c>
      <c r="BW118" s="320">
        <f t="shared" si="114"/>
        <v>0</v>
      </c>
      <c r="BX118" s="427" t="s">
        <v>224</v>
      </c>
      <c r="BY118" s="320">
        <f t="shared" si="133"/>
        <v>1</v>
      </c>
      <c r="BZ118" s="320">
        <f t="shared" si="95"/>
        <v>1</v>
      </c>
      <c r="CA118" s="320">
        <f t="shared" si="127"/>
        <v>1</v>
      </c>
      <c r="CB118" s="320">
        <f t="shared" si="134"/>
        <v>0</v>
      </c>
      <c r="CC118" s="427">
        <v>1</v>
      </c>
      <c r="CD118" s="320">
        <f t="shared" si="98"/>
        <v>1</v>
      </c>
      <c r="CE118" s="320">
        <f t="shared" si="99"/>
        <v>0</v>
      </c>
      <c r="CF118" s="320">
        <f t="shared" si="100"/>
        <v>0</v>
      </c>
      <c r="CG118" s="320">
        <f t="shared" si="101"/>
        <v>0</v>
      </c>
      <c r="CH118" s="427">
        <v>0</v>
      </c>
      <c r="CI118" s="427">
        <v>0</v>
      </c>
      <c r="CJ118" s="427">
        <v>0</v>
      </c>
      <c r="CK118" s="427" t="s">
        <v>315</v>
      </c>
      <c r="CL118" s="320">
        <f t="shared" si="116"/>
        <v>1</v>
      </c>
      <c r="CM118" s="320">
        <f t="shared" si="102"/>
        <v>0</v>
      </c>
      <c r="CN118" s="320">
        <f t="shared" si="103"/>
        <v>1</v>
      </c>
      <c r="CO118" s="320">
        <f t="shared" si="104"/>
        <v>0</v>
      </c>
      <c r="CP118" s="427">
        <v>0</v>
      </c>
      <c r="CQ118" s="427">
        <v>2</v>
      </c>
      <c r="CR118" s="320">
        <f t="shared" si="105"/>
        <v>0</v>
      </c>
      <c r="CS118" s="320">
        <f t="shared" si="115"/>
        <v>0</v>
      </c>
      <c r="CT118" s="320">
        <f t="shared" si="120"/>
        <v>1</v>
      </c>
      <c r="CU118" s="320">
        <f t="shared" si="121"/>
        <v>0</v>
      </c>
      <c r="CV118" s="427">
        <v>1</v>
      </c>
      <c r="CW118" s="17">
        <v>0</v>
      </c>
      <c r="CX118" s="320">
        <f t="shared" si="122"/>
        <v>0</v>
      </c>
      <c r="CY118" s="320">
        <f t="shared" si="107"/>
        <v>0</v>
      </c>
      <c r="CZ118" s="320">
        <f t="shared" si="108"/>
        <v>0</v>
      </c>
      <c r="DA118" s="17"/>
      <c r="DB118" s="17"/>
      <c r="DC118" s="17"/>
      <c r="DD118" s="31"/>
      <c r="DE118" s="321" t="s">
        <v>392</v>
      </c>
      <c r="DF118" s="321" t="s">
        <v>392</v>
      </c>
      <c r="DG118" s="321" t="s">
        <v>392</v>
      </c>
      <c r="DH118" s="321" t="s">
        <v>387</v>
      </c>
      <c r="DI118" s="321"/>
      <c r="DJ118" s="321" t="s">
        <v>387</v>
      </c>
      <c r="DK118" s="321">
        <v>0</v>
      </c>
      <c r="DL118" s="321">
        <v>1</v>
      </c>
      <c r="DM118" s="321">
        <v>1</v>
      </c>
      <c r="DN118" s="321" t="s">
        <v>387</v>
      </c>
      <c r="DO118" s="321" t="s">
        <v>387</v>
      </c>
      <c r="DP118" s="322">
        <v>0</v>
      </c>
      <c r="DQ118" s="291"/>
      <c r="DR118" s="239">
        <f>SUM(DS118:DX118)/6</f>
        <v>0.24456521739130432</v>
      </c>
      <c r="DS118" s="429">
        <f t="shared" si="109"/>
        <v>0.21739130434782608</v>
      </c>
      <c r="DT118" s="448">
        <f>SUM(BA118:BE118,BG118)/5</f>
        <v>0</v>
      </c>
      <c r="DU118" s="429">
        <f>SUM(BI118,BO118,BS118,BU118:BW118)/6</f>
        <v>0.33333333333333331</v>
      </c>
      <c r="DV118" s="429">
        <f>SUM(BY118-CB118,CD118-CG118)/8</f>
        <v>0.25</v>
      </c>
      <c r="DW118" s="429">
        <f>SUM(CH118:CJ118,CL118:CO118,BN118,BR118)/9</f>
        <v>0.33333333333333331</v>
      </c>
      <c r="DX118" s="429">
        <f>SUM(CP118,CR118:CV118)/6</f>
        <v>0.33333333333333331</v>
      </c>
      <c r="DY118" s="429"/>
      <c r="DZ118" s="134"/>
      <c r="EA118" s="135"/>
      <c r="EB118" s="135"/>
      <c r="EC118" s="135"/>
      <c r="ED118" s="124"/>
      <c r="EH118" s="46"/>
      <c r="EI118" s="45"/>
      <c r="EJ118" s="33" t="b">
        <f t="shared" si="110"/>
        <v>0</v>
      </c>
      <c r="EK118" s="42"/>
      <c r="EL118" s="42"/>
      <c r="EM118" s="42"/>
      <c r="EN118" s="439"/>
      <c r="EO118" s="439"/>
      <c r="EP118" s="439"/>
      <c r="EQ118" s="47"/>
      <c r="ER118" s="440"/>
      <c r="ES118" s="431"/>
      <c r="ET118" s="431"/>
      <c r="EU118" s="431"/>
      <c r="EV118" s="447"/>
      <c r="EZ118" s="393" t="s">
        <v>140</v>
      </c>
      <c r="FA118" s="393" t="s">
        <v>140</v>
      </c>
      <c r="FB118" s="389">
        <v>415</v>
      </c>
      <c r="FC118" s="389">
        <v>317</v>
      </c>
      <c r="FD118" s="389">
        <v>267</v>
      </c>
      <c r="FE118" s="389">
        <v>242</v>
      </c>
      <c r="FF118" s="389">
        <v>224.5</v>
      </c>
      <c r="FG118" s="390">
        <v>-3.1545741324921134E-2</v>
      </c>
      <c r="FH118" s="390">
        <v>-1.8726591760299626E-2</v>
      </c>
      <c r="FI118" s="390">
        <v>-1.4462809917355371E-2</v>
      </c>
      <c r="FJ118" s="391">
        <v>-0.22768595041322323</v>
      </c>
      <c r="FK118" s="391" t="s">
        <v>1386</v>
      </c>
      <c r="FL118" s="31" t="s">
        <v>1391</v>
      </c>
      <c r="FN118" s="128" t="s">
        <v>1614</v>
      </c>
      <c r="FO118" s="128" t="s">
        <v>1615</v>
      </c>
      <c r="FP118" s="128"/>
    </row>
    <row r="119" spans="1:177" ht="22" hidden="1" customHeight="1" x14ac:dyDescent="0.2">
      <c r="A119" s="13" t="s">
        <v>10</v>
      </c>
      <c r="B119" s="14" t="s">
        <v>51</v>
      </c>
      <c r="C119" s="14"/>
      <c r="D119" s="14"/>
      <c r="E119" s="128" t="s">
        <v>141</v>
      </c>
      <c r="F119" s="15"/>
      <c r="G119" s="15" t="s">
        <v>634</v>
      </c>
      <c r="H119" s="91">
        <f t="shared" ref="H119:H133" si="135">IF(G119="YES",0,1)</f>
        <v>1</v>
      </c>
      <c r="I119" s="95">
        <f t="shared" si="123"/>
        <v>0</v>
      </c>
      <c r="J119" s="91"/>
      <c r="K119" s="256">
        <f t="shared" si="125"/>
        <v>1</v>
      </c>
      <c r="L119" s="101">
        <v>0</v>
      </c>
      <c r="M119" s="99"/>
      <c r="N119" s="89"/>
      <c r="O119" s="98" t="str">
        <f t="shared" si="119"/>
        <v>_x000D__x000D_</v>
      </c>
      <c r="P119" s="98"/>
      <c r="Q119" s="55"/>
      <c r="R119" s="64" t="s">
        <v>918</v>
      </c>
      <c r="S119" s="425"/>
      <c r="T119" s="300" t="s">
        <v>834</v>
      </c>
      <c r="U119" s="300" t="s">
        <v>834</v>
      </c>
      <c r="V119" s="300" t="s">
        <v>834</v>
      </c>
      <c r="W119" s="258"/>
      <c r="X119" s="307" t="s">
        <v>834</v>
      </c>
      <c r="Y119" s="274"/>
      <c r="Z119" s="426"/>
      <c r="AA119" s="320">
        <f t="shared" si="130"/>
        <v>0</v>
      </c>
      <c r="AB119" s="320">
        <f t="shared" si="72"/>
        <v>0</v>
      </c>
      <c r="AC119" s="320">
        <f t="shared" si="73"/>
        <v>0</v>
      </c>
      <c r="AD119" s="320">
        <f t="shared" si="74"/>
        <v>0</v>
      </c>
      <c r="AE119" s="320">
        <f t="shared" si="111"/>
        <v>0</v>
      </c>
      <c r="AF119" s="320">
        <f t="shared" si="75"/>
        <v>0</v>
      </c>
      <c r="AG119" s="320">
        <f t="shared" si="129"/>
        <v>0</v>
      </c>
      <c r="AH119" s="427"/>
      <c r="AI119" s="320">
        <f t="shared" si="76"/>
        <v>0</v>
      </c>
      <c r="AJ119" s="320">
        <f t="shared" si="77"/>
        <v>0</v>
      </c>
      <c r="AK119" s="320">
        <f t="shared" si="78"/>
        <v>0</v>
      </c>
      <c r="AL119" s="320">
        <f t="shared" si="79"/>
        <v>0</v>
      </c>
      <c r="AM119" s="320">
        <f t="shared" si="80"/>
        <v>0</v>
      </c>
      <c r="AN119" s="320">
        <f t="shared" si="81"/>
        <v>0</v>
      </c>
      <c r="AO119" s="427"/>
      <c r="AP119" s="320">
        <f t="shared" si="112"/>
        <v>0</v>
      </c>
      <c r="AQ119" s="320">
        <f t="shared" si="82"/>
        <v>0</v>
      </c>
      <c r="AR119" s="320">
        <f t="shared" si="83"/>
        <v>0</v>
      </c>
      <c r="AS119" s="320">
        <f t="shared" si="84"/>
        <v>0</v>
      </c>
      <c r="AT119" s="320">
        <f t="shared" si="85"/>
        <v>0</v>
      </c>
      <c r="AU119" s="320">
        <f t="shared" si="86"/>
        <v>0</v>
      </c>
      <c r="AV119" s="427"/>
      <c r="AW119" s="320">
        <f t="shared" si="87"/>
        <v>0</v>
      </c>
      <c r="AX119" s="320">
        <f t="shared" si="88"/>
        <v>0</v>
      </c>
      <c r="AY119" s="320">
        <f t="shared" si="89"/>
        <v>0</v>
      </c>
      <c r="AZ119" s="320">
        <f t="shared" si="90"/>
        <v>0</v>
      </c>
      <c r="BA119" s="17"/>
      <c r="BB119" s="17" t="s">
        <v>834</v>
      </c>
      <c r="BC119" s="17"/>
      <c r="BD119" s="17"/>
      <c r="BE119" s="17"/>
      <c r="BF119" s="17"/>
      <c r="BG119" s="428">
        <f t="shared" si="131"/>
        <v>0</v>
      </c>
      <c r="BH119" s="17"/>
      <c r="BI119" s="17"/>
      <c r="BJ119" s="17"/>
      <c r="BK119" s="17"/>
      <c r="BL119" s="17"/>
      <c r="BM119" s="17"/>
      <c r="BN119" s="320">
        <f t="shared" si="132"/>
        <v>0</v>
      </c>
      <c r="BO119" s="320">
        <f t="shared" si="117"/>
        <v>0</v>
      </c>
      <c r="BP119" s="427"/>
      <c r="BQ119" s="427"/>
      <c r="BR119" s="320">
        <f t="shared" si="126"/>
        <v>0</v>
      </c>
      <c r="BS119" s="320">
        <f>IF(ISNUMBER(SEARCH("1",$BP119)),1,0)</f>
        <v>0</v>
      </c>
      <c r="BT119" s="427"/>
      <c r="BU119" s="320">
        <f t="shared" si="92"/>
        <v>0</v>
      </c>
      <c r="BV119" s="320">
        <f t="shared" si="93"/>
        <v>0</v>
      </c>
      <c r="BW119" s="320">
        <f t="shared" si="114"/>
        <v>0</v>
      </c>
      <c r="BX119" s="427"/>
      <c r="BY119" s="320">
        <f t="shared" si="133"/>
        <v>0</v>
      </c>
      <c r="BZ119" s="320">
        <f t="shared" si="95"/>
        <v>0</v>
      </c>
      <c r="CA119" s="320">
        <f t="shared" si="127"/>
        <v>0</v>
      </c>
      <c r="CB119" s="320">
        <f t="shared" si="134"/>
        <v>0</v>
      </c>
      <c r="CC119" s="427"/>
      <c r="CD119" s="320">
        <f t="shared" si="98"/>
        <v>0</v>
      </c>
      <c r="CE119" s="320">
        <f t="shared" si="99"/>
        <v>0</v>
      </c>
      <c r="CF119" s="320">
        <f t="shared" si="100"/>
        <v>0</v>
      </c>
      <c r="CG119" s="320">
        <f t="shared" si="101"/>
        <v>0</v>
      </c>
      <c r="CH119" s="427"/>
      <c r="CI119" s="427"/>
      <c r="CJ119" s="427"/>
      <c r="CK119" s="427"/>
      <c r="CL119" s="320">
        <f t="shared" si="116"/>
        <v>0</v>
      </c>
      <c r="CM119" s="320">
        <f t="shared" si="102"/>
        <v>0</v>
      </c>
      <c r="CN119" s="320">
        <f t="shared" si="103"/>
        <v>0</v>
      </c>
      <c r="CO119" s="320">
        <f t="shared" si="104"/>
        <v>0</v>
      </c>
      <c r="CP119" s="427"/>
      <c r="CQ119" s="427"/>
      <c r="CR119" s="320">
        <f t="shared" si="105"/>
        <v>0</v>
      </c>
      <c r="CS119" s="320">
        <f t="shared" si="115"/>
        <v>0</v>
      </c>
      <c r="CT119" s="320">
        <f t="shared" si="120"/>
        <v>0</v>
      </c>
      <c r="CU119" s="320">
        <f t="shared" si="121"/>
        <v>0</v>
      </c>
      <c r="CV119" s="427"/>
      <c r="CW119" s="17"/>
      <c r="CX119" s="320">
        <f t="shared" si="122"/>
        <v>0</v>
      </c>
      <c r="CY119" s="320">
        <f t="shared" si="107"/>
        <v>0</v>
      </c>
      <c r="CZ119" s="320">
        <f t="shared" si="108"/>
        <v>0</v>
      </c>
      <c r="DA119" s="17"/>
      <c r="DB119" s="17"/>
      <c r="DC119" s="17"/>
      <c r="DD119" s="31"/>
      <c r="DE119" s="323"/>
      <c r="DF119" s="323"/>
      <c r="DG119" s="323"/>
      <c r="DH119" s="323"/>
      <c r="DI119" s="323"/>
      <c r="DJ119" s="323"/>
      <c r="DK119" s="323"/>
      <c r="DL119" s="323"/>
      <c r="DM119" s="323"/>
      <c r="DN119" s="323"/>
      <c r="DO119" s="323"/>
      <c r="DP119" s="324"/>
      <c r="DQ119" s="288"/>
      <c r="DR119" s="242"/>
      <c r="DS119" s="429">
        <f t="shared" si="109"/>
        <v>0</v>
      </c>
      <c r="DT119" s="429">
        <f>SUM(BA119:BF119)/5</f>
        <v>0</v>
      </c>
      <c r="DU119" s="429"/>
      <c r="DV119" s="429"/>
      <c r="DW119" s="429"/>
      <c r="DX119" s="429"/>
      <c r="DY119" s="429"/>
      <c r="DZ119" s="134"/>
      <c r="EA119" s="134"/>
      <c r="EB119" s="134"/>
      <c r="EC119" s="134"/>
      <c r="ED119" s="123"/>
      <c r="EH119" s="44"/>
      <c r="EI119" s="45"/>
      <c r="EJ119" s="33" t="b">
        <f t="shared" si="110"/>
        <v>0</v>
      </c>
      <c r="EK119" s="42"/>
      <c r="EL119" s="42"/>
      <c r="EM119" s="42"/>
      <c r="EN119" s="439"/>
      <c r="EO119" s="439"/>
      <c r="EP119" s="439"/>
      <c r="EQ119" s="38"/>
      <c r="ER119" s="440"/>
      <c r="ES119" s="431"/>
      <c r="ET119" s="431"/>
      <c r="EU119" s="431"/>
      <c r="EV119" s="447"/>
      <c r="EZ119" s="393" t="s">
        <v>141</v>
      </c>
      <c r="FA119" s="393" t="s">
        <v>141</v>
      </c>
      <c r="FB119" s="389">
        <v>41.1</v>
      </c>
      <c r="FC119" s="389">
        <v>41.9</v>
      </c>
      <c r="FD119" s="389">
        <v>38.200000000000003</v>
      </c>
      <c r="FE119" s="389">
        <v>38.4</v>
      </c>
      <c r="FF119" s="389">
        <v>38.6</v>
      </c>
      <c r="FG119" s="390">
        <v>-1.7661097852028622E-2</v>
      </c>
      <c r="FH119" s="390">
        <v>1.0471204188481453E-3</v>
      </c>
      <c r="FI119" s="390">
        <v>1.0416666666666816E-3</v>
      </c>
      <c r="FJ119" s="391" t="s">
        <v>1389</v>
      </c>
      <c r="FK119" s="391">
        <v>-5.2083333332979412E-3</v>
      </c>
      <c r="FL119" s="31" t="s">
        <v>1394</v>
      </c>
      <c r="FN119" s="128" t="s">
        <v>1616</v>
      </c>
      <c r="FO119" s="128" t="s">
        <v>1617</v>
      </c>
      <c r="FP119" s="128"/>
    </row>
    <row r="120" spans="1:177" ht="22" hidden="1" customHeight="1" x14ac:dyDescent="0.2">
      <c r="A120" s="16" t="s">
        <v>16</v>
      </c>
      <c r="B120" s="19" t="s">
        <v>37</v>
      </c>
      <c r="C120" s="226" t="s">
        <v>1023</v>
      </c>
      <c r="D120" s="19"/>
      <c r="E120" s="128" t="s">
        <v>142</v>
      </c>
      <c r="F120" s="15" t="s">
        <v>637</v>
      </c>
      <c r="G120" s="15" t="s">
        <v>634</v>
      </c>
      <c r="H120" s="91">
        <f t="shared" si="135"/>
        <v>1</v>
      </c>
      <c r="I120" s="95">
        <f t="shared" si="123"/>
        <v>2</v>
      </c>
      <c r="J120" s="91"/>
      <c r="K120" s="256">
        <f t="shared" si="125"/>
        <v>3</v>
      </c>
      <c r="L120" s="101" t="s">
        <v>679</v>
      </c>
      <c r="M120" s="99">
        <v>1</v>
      </c>
      <c r="N120" s="478" t="s">
        <v>657</v>
      </c>
      <c r="O120" s="98" t="s">
        <v>388</v>
      </c>
      <c r="P120" s="144" t="str">
        <f>CONCATENATE(V120,R120,X120)</f>
        <v>_x000D__x000D_Actions to be implemented for the period 2020 – 2030 on ecosystem adaptation are the following:_x000D_i. Reach a rate of 0% deforestation by the year 2030._x000D_ii. Reforest high, medium and low watersheds with special attention to riparian zones and taking into account native species in the area._x000D_iii. Conserve and restore ecosystems in order to increase ecological connectivity of all Natural Protected Areas and other conservation schemes, through biological corridors and sustainable productive activities. This approach will take into account the equitable participation of the population and will have a territorial approach._x000D_iv. Substantially increase the Programs of Action and Conservation of Species in order to strengthen the protection of priority species from the negative impacts of climate change._x000D_v. Increase carbon capture and strengthen coastal protection with the implementation of a scheme of conservation and recovery of coastal and marine ecosystems such as coral reefs, mangroves, sea grass and dunes._x000D_vi. Guarantee the integral management of water for its different uses (agriculture, ecological, urban, industrial and domestic).</v>
      </c>
      <c r="Q120" s="55" t="s">
        <v>826</v>
      </c>
      <c r="R120" s="64" t="s">
        <v>918</v>
      </c>
      <c r="S120" s="425"/>
      <c r="T120" s="300" t="s">
        <v>925</v>
      </c>
      <c r="U120" s="300" t="s">
        <v>925</v>
      </c>
      <c r="V120" s="300"/>
      <c r="W120" s="258"/>
      <c r="X120" s="301" t="s">
        <v>483</v>
      </c>
      <c r="Y120" s="299"/>
      <c r="Z120" s="426" t="s">
        <v>230</v>
      </c>
      <c r="AA120" s="320">
        <f t="shared" si="130"/>
        <v>1</v>
      </c>
      <c r="AB120" s="320">
        <f t="shared" si="72"/>
        <v>1</v>
      </c>
      <c r="AC120" s="320">
        <f t="shared" si="73"/>
        <v>1</v>
      </c>
      <c r="AD120" s="320">
        <f t="shared" si="74"/>
        <v>1</v>
      </c>
      <c r="AE120" s="320">
        <f t="shared" si="111"/>
        <v>1</v>
      </c>
      <c r="AF120" s="320">
        <f t="shared" si="75"/>
        <v>1</v>
      </c>
      <c r="AG120" s="320">
        <f t="shared" si="129"/>
        <v>1</v>
      </c>
      <c r="AH120" s="427" t="s">
        <v>231</v>
      </c>
      <c r="AI120" s="320">
        <f t="shared" si="76"/>
        <v>1</v>
      </c>
      <c r="AJ120" s="320">
        <f t="shared" si="77"/>
        <v>1</v>
      </c>
      <c r="AK120" s="320">
        <f t="shared" si="78"/>
        <v>1</v>
      </c>
      <c r="AL120" s="320">
        <f t="shared" si="79"/>
        <v>1</v>
      </c>
      <c r="AM120" s="320">
        <f t="shared" si="80"/>
        <v>1</v>
      </c>
      <c r="AN120" s="320">
        <f t="shared" si="81"/>
        <v>0</v>
      </c>
      <c r="AO120" s="427">
        <v>1</v>
      </c>
      <c r="AP120" s="320">
        <f t="shared" si="112"/>
        <v>1</v>
      </c>
      <c r="AQ120" s="320">
        <f t="shared" si="82"/>
        <v>0</v>
      </c>
      <c r="AR120" s="320">
        <f t="shared" si="83"/>
        <v>0</v>
      </c>
      <c r="AS120" s="320">
        <f t="shared" si="84"/>
        <v>0</v>
      </c>
      <c r="AT120" s="320">
        <f t="shared" si="85"/>
        <v>0</v>
      </c>
      <c r="AU120" s="320">
        <f t="shared" si="86"/>
        <v>0</v>
      </c>
      <c r="AV120" s="427">
        <v>1</v>
      </c>
      <c r="AW120" s="320">
        <f t="shared" si="87"/>
        <v>1</v>
      </c>
      <c r="AX120" s="320">
        <f t="shared" si="88"/>
        <v>0</v>
      </c>
      <c r="AY120" s="320">
        <f t="shared" si="89"/>
        <v>0</v>
      </c>
      <c r="AZ120" s="320">
        <f t="shared" si="90"/>
        <v>0</v>
      </c>
      <c r="BA120" s="17">
        <v>0</v>
      </c>
      <c r="BB120" s="17" t="s">
        <v>1289</v>
      </c>
      <c r="BC120" s="17">
        <v>0</v>
      </c>
      <c r="BD120" s="17">
        <v>0</v>
      </c>
      <c r="BE120" s="17">
        <v>0</v>
      </c>
      <c r="BF120" s="17">
        <v>0</v>
      </c>
      <c r="BG120" s="428">
        <f t="shared" si="131"/>
        <v>0</v>
      </c>
      <c r="BH120" s="17"/>
      <c r="BI120" s="17">
        <v>0</v>
      </c>
      <c r="BJ120" s="17" t="s">
        <v>1138</v>
      </c>
      <c r="BK120" s="17"/>
      <c r="BL120" s="17">
        <v>1</v>
      </c>
      <c r="BM120" s="17" t="s">
        <v>1149</v>
      </c>
      <c r="BN120" s="320">
        <f t="shared" si="132"/>
        <v>1</v>
      </c>
      <c r="BO120" s="320">
        <f t="shared" si="117"/>
        <v>0</v>
      </c>
      <c r="BP120" s="427">
        <v>1</v>
      </c>
      <c r="BQ120" s="427" t="s">
        <v>1155</v>
      </c>
      <c r="BR120" s="320">
        <f t="shared" si="126"/>
        <v>1</v>
      </c>
      <c r="BS120" s="320">
        <v>0</v>
      </c>
      <c r="BT120" s="427">
        <v>0</v>
      </c>
      <c r="BU120" s="320">
        <f t="shared" si="92"/>
        <v>0</v>
      </c>
      <c r="BV120" s="320">
        <f t="shared" si="93"/>
        <v>0</v>
      </c>
      <c r="BW120" s="320">
        <f t="shared" si="114"/>
        <v>0</v>
      </c>
      <c r="BX120" s="427">
        <v>1</v>
      </c>
      <c r="BY120" s="320">
        <f t="shared" si="133"/>
        <v>1</v>
      </c>
      <c r="BZ120" s="320">
        <f t="shared" si="95"/>
        <v>0</v>
      </c>
      <c r="CA120" s="320">
        <f t="shared" si="127"/>
        <v>0</v>
      </c>
      <c r="CB120" s="320">
        <f t="shared" si="134"/>
        <v>0</v>
      </c>
      <c r="CC120" s="427">
        <v>1</v>
      </c>
      <c r="CD120" s="320">
        <f t="shared" si="98"/>
        <v>1</v>
      </c>
      <c r="CE120" s="320">
        <f t="shared" si="99"/>
        <v>0</v>
      </c>
      <c r="CF120" s="320">
        <f t="shared" si="100"/>
        <v>0</v>
      </c>
      <c r="CG120" s="320">
        <f t="shared" si="101"/>
        <v>0</v>
      </c>
      <c r="CH120" s="427">
        <v>1</v>
      </c>
      <c r="CI120" s="427">
        <v>1</v>
      </c>
      <c r="CJ120" s="427">
        <v>0</v>
      </c>
      <c r="CK120" s="427">
        <v>1.2</v>
      </c>
      <c r="CL120" s="320">
        <f t="shared" si="116"/>
        <v>1</v>
      </c>
      <c r="CM120" s="320">
        <f t="shared" si="102"/>
        <v>1</v>
      </c>
      <c r="CN120" s="320">
        <f t="shared" si="103"/>
        <v>0</v>
      </c>
      <c r="CO120" s="320">
        <f t="shared" si="104"/>
        <v>0</v>
      </c>
      <c r="CP120" s="427">
        <v>1</v>
      </c>
      <c r="CQ120" s="427">
        <v>1</v>
      </c>
      <c r="CR120" s="320">
        <f t="shared" si="105"/>
        <v>1</v>
      </c>
      <c r="CS120" s="320">
        <f t="shared" si="115"/>
        <v>0</v>
      </c>
      <c r="CT120" s="320">
        <f t="shared" si="120"/>
        <v>0</v>
      </c>
      <c r="CU120" s="320">
        <f t="shared" si="121"/>
        <v>0</v>
      </c>
      <c r="CV120" s="427">
        <v>0</v>
      </c>
      <c r="CW120" s="17">
        <v>0</v>
      </c>
      <c r="CX120" s="320">
        <f t="shared" si="122"/>
        <v>0</v>
      </c>
      <c r="CY120" s="320">
        <f t="shared" si="107"/>
        <v>0</v>
      </c>
      <c r="CZ120" s="320">
        <f t="shared" si="108"/>
        <v>0</v>
      </c>
      <c r="DA120" s="17">
        <v>0</v>
      </c>
      <c r="DB120" s="17">
        <v>0</v>
      </c>
      <c r="DC120" s="17">
        <v>1</v>
      </c>
      <c r="DD120" s="31"/>
      <c r="DE120" s="321" t="s">
        <v>387</v>
      </c>
      <c r="DF120" s="321" t="s">
        <v>388</v>
      </c>
      <c r="DG120" s="321" t="s">
        <v>388</v>
      </c>
      <c r="DH120" s="321" t="s">
        <v>387</v>
      </c>
      <c r="DI120" s="321"/>
      <c r="DJ120" s="321" t="s">
        <v>388</v>
      </c>
      <c r="DK120" s="321" t="s">
        <v>826</v>
      </c>
      <c r="DL120" s="321" t="s">
        <v>483</v>
      </c>
      <c r="DM120" s="321" t="s">
        <v>484</v>
      </c>
      <c r="DN120" s="321" t="s">
        <v>388</v>
      </c>
      <c r="DO120" s="321" t="s">
        <v>388</v>
      </c>
      <c r="DP120" s="322"/>
      <c r="DQ120" s="289"/>
      <c r="DR120" s="240">
        <f>SUM(DS120:DX120)/6</f>
        <v>0.30978260869565216</v>
      </c>
      <c r="DS120" s="429">
        <f t="shared" si="109"/>
        <v>0.60869565217391308</v>
      </c>
      <c r="DT120" s="429">
        <f>SUM(BA120:BE120,BG120)/5</f>
        <v>0</v>
      </c>
      <c r="DU120" s="429">
        <f>SUM(BI120,BO120,BS120,BU120:BW120)/6</f>
        <v>0</v>
      </c>
      <c r="DV120" s="429">
        <f>SUM(BY120-CB120,CD120-CG120)/8</f>
        <v>0.25</v>
      </c>
      <c r="DW120" s="429">
        <f>SUM(CH120:CJ120,CL120:CO120,BN120,BR120)/9</f>
        <v>0.66666666666666663</v>
      </c>
      <c r="DX120" s="429">
        <f>SUM(CP120,CR120:CV120)/6</f>
        <v>0.33333333333333331</v>
      </c>
      <c r="DY120" s="444"/>
      <c r="DZ120" s="140" t="s">
        <v>704</v>
      </c>
      <c r="EA120" s="140" t="s">
        <v>705</v>
      </c>
      <c r="EB120" s="139" t="s">
        <v>796</v>
      </c>
      <c r="EC120" s="139" t="s">
        <v>776</v>
      </c>
      <c r="ED120" s="123">
        <v>3</v>
      </c>
      <c r="EH120" s="179">
        <v>0</v>
      </c>
      <c r="EI120" s="188"/>
      <c r="EJ120" s="180" t="e">
        <f t="shared" si="110"/>
        <v>#VALUE!</v>
      </c>
      <c r="EK120" s="181"/>
      <c r="EL120" s="181"/>
      <c r="EM120" s="181"/>
      <c r="EN120" s="463"/>
      <c r="EO120" s="463"/>
      <c r="EP120" s="463"/>
      <c r="EQ120" s="182"/>
      <c r="ER120" s="464">
        <v>0</v>
      </c>
      <c r="ES120" s="465"/>
      <c r="ET120" s="465"/>
      <c r="EU120" s="465"/>
      <c r="EV120" s="466"/>
      <c r="EZ120" s="393" t="s">
        <v>142</v>
      </c>
      <c r="FA120" s="393" t="s">
        <v>142</v>
      </c>
      <c r="FB120" s="389">
        <v>69760</v>
      </c>
      <c r="FC120" s="389">
        <v>67856</v>
      </c>
      <c r="FD120" s="389">
        <v>67083</v>
      </c>
      <c r="FE120" s="389">
        <v>66498</v>
      </c>
      <c r="FF120" s="389">
        <v>66040</v>
      </c>
      <c r="FG120" s="390">
        <v>-2.2783541617543033E-3</v>
      </c>
      <c r="FH120" s="390">
        <v>-1.7441080452573678E-3</v>
      </c>
      <c r="FI120" s="390">
        <v>-1.3774850371439742E-3</v>
      </c>
      <c r="FJ120" s="391">
        <v>-0.21020659190829727</v>
      </c>
      <c r="FK120" s="391" t="s">
        <v>1386</v>
      </c>
      <c r="FL120" s="31" t="s">
        <v>1391</v>
      </c>
      <c r="FN120" s="128" t="s">
        <v>1618</v>
      </c>
      <c r="FO120" s="128" t="s">
        <v>1619</v>
      </c>
      <c r="FP120" s="128"/>
    </row>
    <row r="121" spans="1:177" ht="22" hidden="1" customHeight="1" x14ac:dyDescent="0.2">
      <c r="A121" s="13" t="s">
        <v>24</v>
      </c>
      <c r="B121" s="14" t="s">
        <v>121</v>
      </c>
      <c r="C121" s="14"/>
      <c r="D121" s="14"/>
      <c r="E121" s="128" t="s">
        <v>143</v>
      </c>
      <c r="F121" s="15"/>
      <c r="G121" s="15" t="s">
        <v>634</v>
      </c>
      <c r="H121" s="91">
        <f t="shared" si="135"/>
        <v>1</v>
      </c>
      <c r="I121" s="95">
        <f t="shared" si="123"/>
        <v>0</v>
      </c>
      <c r="J121" s="91"/>
      <c r="K121" s="256">
        <f t="shared" si="125"/>
        <v>1</v>
      </c>
      <c r="L121" s="101">
        <v>0</v>
      </c>
      <c r="M121" s="99"/>
      <c r="N121" s="89"/>
      <c r="O121" s="98" t="str">
        <f t="shared" ref="O121:O184" si="136">CONCATENATE(Q121,R121,S121)</f>
        <v>_x000D__x000D_</v>
      </c>
      <c r="P121" s="98"/>
      <c r="Q121" s="55"/>
      <c r="R121" s="64" t="s">
        <v>918</v>
      </c>
      <c r="S121" s="425"/>
      <c r="T121" s="300" t="s">
        <v>834</v>
      </c>
      <c r="U121" s="300" t="s">
        <v>834</v>
      </c>
      <c r="V121" s="300" t="s">
        <v>834</v>
      </c>
      <c r="W121" s="258"/>
      <c r="X121" s="307" t="s">
        <v>834</v>
      </c>
      <c r="Y121" s="274"/>
      <c r="Z121" s="426"/>
      <c r="AA121" s="320">
        <f t="shared" si="130"/>
        <v>0</v>
      </c>
      <c r="AB121" s="320">
        <f t="shared" si="72"/>
        <v>0</v>
      </c>
      <c r="AC121" s="320">
        <f t="shared" si="73"/>
        <v>0</v>
      </c>
      <c r="AD121" s="320">
        <f t="shared" si="74"/>
        <v>0</v>
      </c>
      <c r="AE121" s="320">
        <f t="shared" si="111"/>
        <v>0</v>
      </c>
      <c r="AF121" s="320">
        <f t="shared" si="75"/>
        <v>0</v>
      </c>
      <c r="AG121" s="320">
        <f t="shared" si="129"/>
        <v>0</v>
      </c>
      <c r="AH121" s="427"/>
      <c r="AI121" s="320">
        <f t="shared" si="76"/>
        <v>0</v>
      </c>
      <c r="AJ121" s="320">
        <f t="shared" si="77"/>
        <v>0</v>
      </c>
      <c r="AK121" s="320">
        <f t="shared" si="78"/>
        <v>0</v>
      </c>
      <c r="AL121" s="320">
        <f t="shared" si="79"/>
        <v>0</v>
      </c>
      <c r="AM121" s="320">
        <f t="shared" si="80"/>
        <v>0</v>
      </c>
      <c r="AN121" s="320">
        <f t="shared" si="81"/>
        <v>0</v>
      </c>
      <c r="AO121" s="427"/>
      <c r="AP121" s="320">
        <f t="shared" si="112"/>
        <v>0</v>
      </c>
      <c r="AQ121" s="320">
        <f t="shared" si="82"/>
        <v>0</v>
      </c>
      <c r="AR121" s="320">
        <f t="shared" si="83"/>
        <v>0</v>
      </c>
      <c r="AS121" s="320">
        <f t="shared" si="84"/>
        <v>0</v>
      </c>
      <c r="AT121" s="320">
        <f t="shared" si="85"/>
        <v>0</v>
      </c>
      <c r="AU121" s="320">
        <f t="shared" si="86"/>
        <v>0</v>
      </c>
      <c r="AV121" s="427"/>
      <c r="AW121" s="320">
        <f t="shared" si="87"/>
        <v>0</v>
      </c>
      <c r="AX121" s="320">
        <f t="shared" si="88"/>
        <v>0</v>
      </c>
      <c r="AY121" s="320">
        <f t="shared" si="89"/>
        <v>0</v>
      </c>
      <c r="AZ121" s="320">
        <f t="shared" si="90"/>
        <v>0</v>
      </c>
      <c r="BA121" s="17"/>
      <c r="BB121" s="17" t="s">
        <v>834</v>
      </c>
      <c r="BC121" s="17"/>
      <c r="BD121" s="17"/>
      <c r="BE121" s="17"/>
      <c r="BF121" s="17"/>
      <c r="BG121" s="428">
        <f t="shared" si="131"/>
        <v>0</v>
      </c>
      <c r="BH121" s="17"/>
      <c r="BI121" s="17"/>
      <c r="BJ121" s="17"/>
      <c r="BK121" s="17"/>
      <c r="BL121" s="17"/>
      <c r="BM121" s="17"/>
      <c r="BN121" s="320">
        <f t="shared" si="132"/>
        <v>0</v>
      </c>
      <c r="BO121" s="320">
        <f t="shared" si="117"/>
        <v>0</v>
      </c>
      <c r="BP121" s="427"/>
      <c r="BQ121" s="427"/>
      <c r="BR121" s="320">
        <f t="shared" si="126"/>
        <v>0</v>
      </c>
      <c r="BS121" s="320">
        <f>IF(ISNUMBER(SEARCH("1",$BP121)),1,0)</f>
        <v>0</v>
      </c>
      <c r="BT121" s="427"/>
      <c r="BU121" s="320">
        <f t="shared" si="92"/>
        <v>0</v>
      </c>
      <c r="BV121" s="320">
        <f t="shared" si="93"/>
        <v>0</v>
      </c>
      <c r="BW121" s="320">
        <f t="shared" si="114"/>
        <v>0</v>
      </c>
      <c r="BX121" s="427"/>
      <c r="BY121" s="320">
        <f t="shared" si="133"/>
        <v>0</v>
      </c>
      <c r="BZ121" s="320">
        <f t="shared" si="95"/>
        <v>0</v>
      </c>
      <c r="CA121" s="320">
        <f t="shared" si="127"/>
        <v>0</v>
      </c>
      <c r="CB121" s="320">
        <f t="shared" si="134"/>
        <v>0</v>
      </c>
      <c r="CC121" s="427"/>
      <c r="CD121" s="320">
        <f t="shared" si="98"/>
        <v>0</v>
      </c>
      <c r="CE121" s="320">
        <f t="shared" si="99"/>
        <v>0</v>
      </c>
      <c r="CF121" s="320">
        <f t="shared" si="100"/>
        <v>0</v>
      </c>
      <c r="CG121" s="320">
        <f t="shared" si="101"/>
        <v>0</v>
      </c>
      <c r="CH121" s="427"/>
      <c r="CI121" s="427"/>
      <c r="CJ121" s="427"/>
      <c r="CK121" s="427"/>
      <c r="CL121" s="320">
        <f t="shared" si="116"/>
        <v>0</v>
      </c>
      <c r="CM121" s="320">
        <f t="shared" si="102"/>
        <v>0</v>
      </c>
      <c r="CN121" s="320">
        <f t="shared" si="103"/>
        <v>0</v>
      </c>
      <c r="CO121" s="320">
        <f t="shared" si="104"/>
        <v>0</v>
      </c>
      <c r="CP121" s="427"/>
      <c r="CQ121" s="427"/>
      <c r="CR121" s="320">
        <f t="shared" si="105"/>
        <v>0</v>
      </c>
      <c r="CS121" s="320">
        <f t="shared" si="115"/>
        <v>0</v>
      </c>
      <c r="CT121" s="320">
        <f t="shared" si="120"/>
        <v>0</v>
      </c>
      <c r="CU121" s="320">
        <f t="shared" si="121"/>
        <v>0</v>
      </c>
      <c r="CV121" s="427"/>
      <c r="CW121" s="17"/>
      <c r="CX121" s="320">
        <f t="shared" si="122"/>
        <v>0</v>
      </c>
      <c r="CY121" s="320">
        <f t="shared" si="107"/>
        <v>0</v>
      </c>
      <c r="CZ121" s="320">
        <f t="shared" si="108"/>
        <v>0</v>
      </c>
      <c r="DA121" s="17"/>
      <c r="DB121" s="17"/>
      <c r="DC121" s="17"/>
      <c r="DD121" s="31"/>
      <c r="DE121" s="323"/>
      <c r="DF121" s="323"/>
      <c r="DG121" s="323"/>
      <c r="DH121" s="323"/>
      <c r="DI121" s="323"/>
      <c r="DJ121" s="323"/>
      <c r="DK121" s="323"/>
      <c r="DL121" s="323"/>
      <c r="DM121" s="323"/>
      <c r="DN121" s="323"/>
      <c r="DO121" s="323"/>
      <c r="DP121" s="324"/>
      <c r="DQ121" s="288"/>
      <c r="DR121" s="242"/>
      <c r="DS121" s="429">
        <f t="shared" si="109"/>
        <v>0</v>
      </c>
      <c r="DT121" s="429"/>
      <c r="DU121" s="429"/>
      <c r="DV121" s="429"/>
      <c r="DW121" s="429"/>
      <c r="DX121" s="429"/>
      <c r="DY121" s="429"/>
      <c r="DZ121" s="134"/>
      <c r="EA121" s="134"/>
      <c r="EB121" s="134"/>
      <c r="EC121" s="134"/>
      <c r="ED121" s="123"/>
      <c r="EH121" s="184"/>
      <c r="EI121" s="188"/>
      <c r="EJ121" s="180" t="b">
        <f t="shared" si="110"/>
        <v>0</v>
      </c>
      <c r="EK121" s="181"/>
      <c r="EL121" s="181"/>
      <c r="EM121" s="181"/>
      <c r="EN121" s="463"/>
      <c r="EO121" s="463"/>
      <c r="EP121" s="463"/>
      <c r="EQ121" s="189"/>
      <c r="ER121" s="464"/>
      <c r="ES121" s="465"/>
      <c r="ET121" s="465"/>
      <c r="EU121" s="465"/>
      <c r="EV121" s="466"/>
      <c r="EZ121" s="393" t="s">
        <v>143</v>
      </c>
      <c r="FA121" s="393" t="s">
        <v>143</v>
      </c>
      <c r="FB121" s="389">
        <v>63.584000000000003</v>
      </c>
      <c r="FC121" s="389">
        <v>63.856000000000002</v>
      </c>
      <c r="FD121" s="389">
        <v>63.993000000000002</v>
      </c>
      <c r="FE121" s="389">
        <v>64.129000000000005</v>
      </c>
      <c r="FF121" s="389">
        <v>64.265000000000001</v>
      </c>
      <c r="FG121" s="390">
        <v>4.2909045352042236E-4</v>
      </c>
      <c r="FH121" s="390">
        <v>4.2504648945979338E-4</v>
      </c>
      <c r="FI121" s="390">
        <v>4.2414508256793547E-4</v>
      </c>
      <c r="FJ121" s="391" t="s">
        <v>1389</v>
      </c>
      <c r="FK121" s="391">
        <v>-2.1207254128920066E-3</v>
      </c>
      <c r="FL121" s="31" t="s">
        <v>1394</v>
      </c>
      <c r="FN121" s="128" t="s">
        <v>1620</v>
      </c>
      <c r="FO121" s="128" t="s">
        <v>1621</v>
      </c>
      <c r="FP121" s="128"/>
    </row>
    <row r="122" spans="1:177" ht="22" customHeight="1" x14ac:dyDescent="0.2">
      <c r="A122" s="13" t="s">
        <v>7</v>
      </c>
      <c r="B122" s="14" t="s">
        <v>27</v>
      </c>
      <c r="C122" s="14"/>
      <c r="D122" s="14"/>
      <c r="E122" s="128" t="s">
        <v>1328</v>
      </c>
      <c r="F122" s="15" t="s">
        <v>1355</v>
      </c>
      <c r="G122" s="15" t="s">
        <v>635</v>
      </c>
      <c r="H122" s="91">
        <f t="shared" si="135"/>
        <v>0</v>
      </c>
      <c r="I122" s="95">
        <f t="shared" si="123"/>
        <v>0</v>
      </c>
      <c r="J122" s="91"/>
      <c r="K122" s="256">
        <f t="shared" si="125"/>
        <v>0</v>
      </c>
      <c r="L122" s="101">
        <v>0</v>
      </c>
      <c r="M122" s="99"/>
      <c r="N122" s="89"/>
      <c r="O122" s="98" t="str">
        <f t="shared" si="136"/>
        <v>N/A or not found_x000D__x000D_</v>
      </c>
      <c r="P122" s="98"/>
      <c r="Q122" s="360" t="s">
        <v>925</v>
      </c>
      <c r="R122" s="64" t="s">
        <v>918</v>
      </c>
      <c r="S122" s="425"/>
      <c r="T122" s="300" t="s">
        <v>834</v>
      </c>
      <c r="U122" s="300" t="s">
        <v>834</v>
      </c>
      <c r="V122" s="309" t="s">
        <v>925</v>
      </c>
      <c r="W122" s="258"/>
      <c r="X122" s="307" t="s">
        <v>834</v>
      </c>
      <c r="Y122" s="274"/>
      <c r="Z122" s="426"/>
      <c r="AA122" s="320">
        <f t="shared" si="130"/>
        <v>0</v>
      </c>
      <c r="AB122" s="320">
        <f t="shared" si="72"/>
        <v>0</v>
      </c>
      <c r="AC122" s="320">
        <f t="shared" si="73"/>
        <v>0</v>
      </c>
      <c r="AD122" s="320">
        <f t="shared" si="74"/>
        <v>0</v>
      </c>
      <c r="AE122" s="320">
        <f t="shared" si="111"/>
        <v>0</v>
      </c>
      <c r="AF122" s="320">
        <f t="shared" si="75"/>
        <v>0</v>
      </c>
      <c r="AG122" s="320">
        <f t="shared" si="129"/>
        <v>0</v>
      </c>
      <c r="AH122" s="427"/>
      <c r="AI122" s="320">
        <f t="shared" si="76"/>
        <v>0</v>
      </c>
      <c r="AJ122" s="320">
        <f t="shared" si="77"/>
        <v>0</v>
      </c>
      <c r="AK122" s="320">
        <f t="shared" si="78"/>
        <v>0</v>
      </c>
      <c r="AL122" s="320">
        <f t="shared" si="79"/>
        <v>0</v>
      </c>
      <c r="AM122" s="320">
        <f t="shared" si="80"/>
        <v>0</v>
      </c>
      <c r="AN122" s="320">
        <f t="shared" si="81"/>
        <v>0</v>
      </c>
      <c r="AO122" s="427"/>
      <c r="AP122" s="320">
        <f t="shared" si="112"/>
        <v>0</v>
      </c>
      <c r="AQ122" s="320">
        <f t="shared" si="82"/>
        <v>0</v>
      </c>
      <c r="AR122" s="320">
        <f t="shared" si="83"/>
        <v>0</v>
      </c>
      <c r="AS122" s="320">
        <f t="shared" si="84"/>
        <v>0</v>
      </c>
      <c r="AT122" s="320">
        <f t="shared" si="85"/>
        <v>0</v>
      </c>
      <c r="AU122" s="320">
        <f t="shared" si="86"/>
        <v>0</v>
      </c>
      <c r="AV122" s="427"/>
      <c r="AW122" s="320">
        <f t="shared" si="87"/>
        <v>0</v>
      </c>
      <c r="AX122" s="320">
        <f t="shared" si="88"/>
        <v>0</v>
      </c>
      <c r="AY122" s="320">
        <f t="shared" si="89"/>
        <v>0</v>
      </c>
      <c r="AZ122" s="320">
        <f t="shared" si="90"/>
        <v>0</v>
      </c>
      <c r="BA122" s="17"/>
      <c r="BB122" s="17" t="s">
        <v>834</v>
      </c>
      <c r="BC122" s="17"/>
      <c r="BD122" s="17"/>
      <c r="BE122" s="17"/>
      <c r="BF122" s="17"/>
      <c r="BG122" s="428">
        <f t="shared" si="131"/>
        <v>0</v>
      </c>
      <c r="BH122" s="17"/>
      <c r="BI122" s="17"/>
      <c r="BJ122" s="17"/>
      <c r="BK122" s="17"/>
      <c r="BL122" s="17"/>
      <c r="BM122" s="17"/>
      <c r="BN122" s="320">
        <f t="shared" si="132"/>
        <v>0</v>
      </c>
      <c r="BO122" s="320">
        <f t="shared" si="117"/>
        <v>0</v>
      </c>
      <c r="BP122" s="427"/>
      <c r="BQ122" s="427"/>
      <c r="BR122" s="320">
        <f t="shared" si="126"/>
        <v>0</v>
      </c>
      <c r="BS122" s="320">
        <f>IF(ISNUMBER(SEARCH("1",$BP122)),1,0)</f>
        <v>0</v>
      </c>
      <c r="BT122" s="427"/>
      <c r="BU122" s="320">
        <f t="shared" si="92"/>
        <v>0</v>
      </c>
      <c r="BV122" s="320">
        <f t="shared" si="93"/>
        <v>0</v>
      </c>
      <c r="BW122" s="320">
        <f t="shared" si="114"/>
        <v>0</v>
      </c>
      <c r="BX122" s="427"/>
      <c r="BY122" s="320">
        <f t="shared" si="133"/>
        <v>0</v>
      </c>
      <c r="BZ122" s="320">
        <f t="shared" si="95"/>
        <v>0</v>
      </c>
      <c r="CA122" s="320">
        <f t="shared" si="127"/>
        <v>0</v>
      </c>
      <c r="CB122" s="320">
        <f t="shared" si="134"/>
        <v>0</v>
      </c>
      <c r="CC122" s="427"/>
      <c r="CD122" s="320">
        <f t="shared" si="98"/>
        <v>0</v>
      </c>
      <c r="CE122" s="320">
        <f t="shared" si="99"/>
        <v>0</v>
      </c>
      <c r="CF122" s="320">
        <f t="shared" si="100"/>
        <v>0</v>
      </c>
      <c r="CG122" s="320">
        <f t="shared" si="101"/>
        <v>0</v>
      </c>
      <c r="CH122" s="427"/>
      <c r="CI122" s="427"/>
      <c r="CJ122" s="427"/>
      <c r="CK122" s="427"/>
      <c r="CL122" s="320">
        <f t="shared" si="116"/>
        <v>0</v>
      </c>
      <c r="CM122" s="320">
        <f t="shared" si="102"/>
        <v>0</v>
      </c>
      <c r="CN122" s="320">
        <f t="shared" si="103"/>
        <v>0</v>
      </c>
      <c r="CO122" s="320">
        <f t="shared" si="104"/>
        <v>0</v>
      </c>
      <c r="CP122" s="427"/>
      <c r="CQ122" s="427"/>
      <c r="CR122" s="320">
        <f t="shared" si="105"/>
        <v>0</v>
      </c>
      <c r="CS122" s="320">
        <f t="shared" si="115"/>
        <v>0</v>
      </c>
      <c r="CT122" s="320">
        <f t="shared" si="120"/>
        <v>0</v>
      </c>
      <c r="CU122" s="320">
        <f t="shared" si="121"/>
        <v>0</v>
      </c>
      <c r="CV122" s="427"/>
      <c r="CW122" s="17"/>
      <c r="CX122" s="320">
        <f t="shared" si="122"/>
        <v>0</v>
      </c>
      <c r="CY122" s="320">
        <f t="shared" si="107"/>
        <v>0</v>
      </c>
      <c r="CZ122" s="320">
        <f t="shared" si="108"/>
        <v>0</v>
      </c>
      <c r="DA122" s="17"/>
      <c r="DB122" s="17"/>
      <c r="DC122" s="17"/>
      <c r="DD122" s="31"/>
      <c r="DE122" s="321" t="s">
        <v>388</v>
      </c>
      <c r="DF122" s="321" t="s">
        <v>388</v>
      </c>
      <c r="DG122" s="321" t="s">
        <v>388</v>
      </c>
      <c r="DH122" s="321" t="s">
        <v>387</v>
      </c>
      <c r="DI122" s="321" t="s">
        <v>388</v>
      </c>
      <c r="DJ122" s="321" t="s">
        <v>1329</v>
      </c>
      <c r="DK122" s="321" t="s">
        <v>388</v>
      </c>
      <c r="DL122" s="321" t="s">
        <v>388</v>
      </c>
      <c r="DM122" s="321" t="s">
        <v>1330</v>
      </c>
      <c r="DN122" s="321" t="s">
        <v>388</v>
      </c>
      <c r="DO122" s="321" t="s">
        <v>388</v>
      </c>
      <c r="DP122" s="322"/>
      <c r="DQ122" s="345" t="s">
        <v>387</v>
      </c>
      <c r="DR122" s="241"/>
      <c r="DS122" s="429">
        <f t="shared" si="109"/>
        <v>0</v>
      </c>
      <c r="DT122" s="429"/>
      <c r="DU122" s="429"/>
      <c r="DV122" s="429"/>
      <c r="DW122" s="429"/>
      <c r="DX122" s="429"/>
      <c r="DY122" s="429"/>
      <c r="DZ122" s="134"/>
      <c r="EA122" s="134"/>
      <c r="EB122" s="134"/>
      <c r="EC122" s="134"/>
      <c r="ED122" s="123"/>
      <c r="EH122" s="46">
        <v>0</v>
      </c>
      <c r="EI122" s="45"/>
      <c r="EJ122" s="33" t="b">
        <f t="shared" si="110"/>
        <v>0</v>
      </c>
      <c r="EK122" s="42"/>
      <c r="EL122" s="42"/>
      <c r="EM122" s="42"/>
      <c r="EN122" s="439"/>
      <c r="EO122" s="439"/>
      <c r="EP122" s="439"/>
      <c r="EQ122" s="47"/>
      <c r="ER122" s="440">
        <v>1</v>
      </c>
      <c r="ES122" s="431"/>
      <c r="ET122" s="431"/>
      <c r="EU122" s="431"/>
      <c r="EV122" s="447"/>
      <c r="EZ122" s="393" t="s">
        <v>1383</v>
      </c>
      <c r="FA122" s="393" t="s">
        <v>1383</v>
      </c>
      <c r="FB122" s="389">
        <v>0</v>
      </c>
      <c r="FC122" s="389">
        <v>0</v>
      </c>
      <c r="FD122" s="389">
        <v>0</v>
      </c>
      <c r="FE122" s="389">
        <v>0</v>
      </c>
      <c r="FF122" s="389">
        <v>0</v>
      </c>
      <c r="FG122" s="390" t="s">
        <v>1375</v>
      </c>
      <c r="FH122" s="390" t="s">
        <v>1375</v>
      </c>
      <c r="FI122" s="390" t="s">
        <v>1375</v>
      </c>
      <c r="FJ122" s="391" t="s">
        <v>1389</v>
      </c>
      <c r="FK122" s="391" t="e">
        <v>#VALUE!</v>
      </c>
      <c r="FL122" s="31" t="s">
        <v>1375</v>
      </c>
      <c r="FN122" s="128" t="s">
        <v>1622</v>
      </c>
      <c r="FO122" s="128" t="s">
        <v>1623</v>
      </c>
      <c r="FP122" s="128" t="s">
        <v>1347</v>
      </c>
      <c r="FR122" s="402">
        <v>1</v>
      </c>
      <c r="FS122" s="402">
        <v>1</v>
      </c>
      <c r="FT122" s="402">
        <v>1</v>
      </c>
      <c r="FU122" s="402">
        <v>0</v>
      </c>
    </row>
    <row r="123" spans="1:177" ht="22" hidden="1" customHeight="1" x14ac:dyDescent="0.2">
      <c r="A123" s="13" t="s">
        <v>4</v>
      </c>
      <c r="B123" s="14" t="s">
        <v>62</v>
      </c>
      <c r="C123" s="14"/>
      <c r="D123" s="14" t="s">
        <v>1068</v>
      </c>
      <c r="E123" s="128" t="s">
        <v>144</v>
      </c>
      <c r="F123" s="15" t="s">
        <v>638</v>
      </c>
      <c r="G123" s="15" t="s">
        <v>635</v>
      </c>
      <c r="H123" s="91">
        <f t="shared" si="135"/>
        <v>0</v>
      </c>
      <c r="I123" s="95">
        <f t="shared" si="123"/>
        <v>2</v>
      </c>
      <c r="J123" s="91"/>
      <c r="K123" s="256">
        <f t="shared" si="125"/>
        <v>2</v>
      </c>
      <c r="L123" s="101" t="s">
        <v>678</v>
      </c>
      <c r="M123" s="99">
        <v>1</v>
      </c>
      <c r="N123" s="89"/>
      <c r="O123" s="98" t="str">
        <f t="shared" si="136"/>
        <v>[NB: some sections of the NDC present quantiative ecosystem-based mitigation and adaptation actions but they appear to be tentative and therefore have been left for the following box]_x000D__x000D_</v>
      </c>
      <c r="P123" s="144" t="str">
        <f>CONCATENATE(V123,R123,X123)</f>
        <v>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2015)._x000D__x000D_Some adaptation activities under these goals will also have mitigation co-benefits:_x000D_- Improving pasture management would increase the carbon sink of CO2 equivalent to 29 million tons per year, which is equal to 1/3 of emission reduction in energy sector._x000D_- Reducing bare fallow to 30% in rain-fed crop land, increasing variety of crops, zero-tillage and crop rotation would consequently increase a carbon sink._x000D_- Increasing protected areas up to 25-30% of the total territory will help maintain natural ecosystems and preserve water resources with a certain synergy effects for emission reduction._x000D_- Increasing forest area up to 9.0% by 2030 and reducing forest fire affected area by 30% would conserve ecosystems and increase carbon sink.</v>
      </c>
      <c r="Q123" s="55" t="s">
        <v>1013</v>
      </c>
      <c r="R123" s="64" t="s">
        <v>918</v>
      </c>
      <c r="S123" s="425"/>
      <c r="T123" s="300" t="s">
        <v>845</v>
      </c>
      <c r="U123" s="300" t="s">
        <v>999</v>
      </c>
      <c r="V123" s="300" t="s">
        <v>928</v>
      </c>
      <c r="W123" s="258" t="s">
        <v>1012</v>
      </c>
      <c r="X123" s="307" t="s">
        <v>929</v>
      </c>
      <c r="Y123" s="297"/>
      <c r="Z123" s="426">
        <v>1</v>
      </c>
      <c r="AA123" s="320">
        <f t="shared" si="130"/>
        <v>1</v>
      </c>
      <c r="AB123" s="320">
        <f t="shared" si="72"/>
        <v>0</v>
      </c>
      <c r="AC123" s="320">
        <f t="shared" si="73"/>
        <v>0</v>
      </c>
      <c r="AD123" s="320">
        <f t="shared" si="74"/>
        <v>0</v>
      </c>
      <c r="AE123" s="320">
        <f t="shared" si="111"/>
        <v>0</v>
      </c>
      <c r="AF123" s="320">
        <f t="shared" si="75"/>
        <v>0</v>
      </c>
      <c r="AG123" s="320">
        <f t="shared" si="129"/>
        <v>0</v>
      </c>
      <c r="AH123" s="427">
        <v>1</v>
      </c>
      <c r="AI123" s="320">
        <f t="shared" si="76"/>
        <v>1</v>
      </c>
      <c r="AJ123" s="320">
        <f t="shared" si="77"/>
        <v>0</v>
      </c>
      <c r="AK123" s="320">
        <f t="shared" si="78"/>
        <v>0</v>
      </c>
      <c r="AL123" s="320">
        <f t="shared" si="79"/>
        <v>0</v>
      </c>
      <c r="AM123" s="320">
        <f t="shared" si="80"/>
        <v>0</v>
      </c>
      <c r="AN123" s="320">
        <f t="shared" si="81"/>
        <v>0</v>
      </c>
      <c r="AO123" s="427" t="s">
        <v>315</v>
      </c>
      <c r="AP123" s="320">
        <f t="shared" si="112"/>
        <v>1</v>
      </c>
      <c r="AQ123" s="320">
        <f t="shared" si="82"/>
        <v>0</v>
      </c>
      <c r="AR123" s="320">
        <f t="shared" si="83"/>
        <v>0</v>
      </c>
      <c r="AS123" s="320">
        <f t="shared" si="84"/>
        <v>0</v>
      </c>
      <c r="AT123" s="320">
        <f t="shared" si="85"/>
        <v>1</v>
      </c>
      <c r="AU123" s="320">
        <f t="shared" si="86"/>
        <v>0</v>
      </c>
      <c r="AV123" s="427">
        <v>1</v>
      </c>
      <c r="AW123" s="320">
        <f t="shared" si="87"/>
        <v>1</v>
      </c>
      <c r="AX123" s="320">
        <f t="shared" si="88"/>
        <v>0</v>
      </c>
      <c r="AY123" s="320">
        <f t="shared" si="89"/>
        <v>0</v>
      </c>
      <c r="AZ123" s="320">
        <f t="shared" si="90"/>
        <v>0</v>
      </c>
      <c r="BA123" s="17">
        <v>1</v>
      </c>
      <c r="BB123" s="17" t="s">
        <v>845</v>
      </c>
      <c r="BC123" s="17">
        <v>0</v>
      </c>
      <c r="BD123" s="17">
        <v>1</v>
      </c>
      <c r="BE123" s="17">
        <v>0</v>
      </c>
      <c r="BF123" s="17">
        <v>1</v>
      </c>
      <c r="BG123" s="428">
        <f t="shared" si="131"/>
        <v>1</v>
      </c>
      <c r="BH123" s="17">
        <v>1</v>
      </c>
      <c r="BI123" s="17">
        <v>1</v>
      </c>
      <c r="BJ123" s="17" t="s">
        <v>1140</v>
      </c>
      <c r="BK123" s="17"/>
      <c r="BL123" s="17">
        <v>0</v>
      </c>
      <c r="BM123" s="17" t="s">
        <v>834</v>
      </c>
      <c r="BN123" s="320">
        <f t="shared" si="132"/>
        <v>0</v>
      </c>
      <c r="BO123" s="320">
        <f t="shared" si="117"/>
        <v>0</v>
      </c>
      <c r="BP123" s="427">
        <v>1</v>
      </c>
      <c r="BQ123" s="427" t="s">
        <v>1231</v>
      </c>
      <c r="BR123" s="320">
        <f t="shared" si="126"/>
        <v>1</v>
      </c>
      <c r="BS123" s="320">
        <f>IF(ISNUMBER(SEARCH("t",$BP123)),1,0)</f>
        <v>0</v>
      </c>
      <c r="BT123" s="427">
        <v>0</v>
      </c>
      <c r="BU123" s="320">
        <f t="shared" si="92"/>
        <v>0</v>
      </c>
      <c r="BV123" s="320">
        <f t="shared" si="93"/>
        <v>0</v>
      </c>
      <c r="BW123" s="320">
        <f t="shared" si="114"/>
        <v>0</v>
      </c>
      <c r="BX123" s="427" t="s">
        <v>315</v>
      </c>
      <c r="BY123" s="320">
        <f t="shared" si="133"/>
        <v>1</v>
      </c>
      <c r="BZ123" s="320">
        <f t="shared" si="95"/>
        <v>0</v>
      </c>
      <c r="CA123" s="320">
        <f t="shared" si="127"/>
        <v>1</v>
      </c>
      <c r="CB123" s="320">
        <f t="shared" si="134"/>
        <v>0</v>
      </c>
      <c r="CC123" s="427">
        <v>0</v>
      </c>
      <c r="CD123" s="320">
        <f t="shared" si="98"/>
        <v>0</v>
      </c>
      <c r="CE123" s="320">
        <f t="shared" si="99"/>
        <v>0</v>
      </c>
      <c r="CF123" s="320">
        <f t="shared" si="100"/>
        <v>0</v>
      </c>
      <c r="CG123" s="320">
        <f t="shared" si="101"/>
        <v>0</v>
      </c>
      <c r="CH123" s="427">
        <v>1</v>
      </c>
      <c r="CI123" s="427">
        <v>0</v>
      </c>
      <c r="CJ123" s="427">
        <v>0</v>
      </c>
      <c r="CK123" s="427">
        <v>0</v>
      </c>
      <c r="CL123" s="320">
        <f t="shared" si="116"/>
        <v>0</v>
      </c>
      <c r="CM123" s="320">
        <f t="shared" si="102"/>
        <v>0</v>
      </c>
      <c r="CN123" s="320">
        <f t="shared" si="103"/>
        <v>0</v>
      </c>
      <c r="CO123" s="320">
        <f t="shared" si="104"/>
        <v>0</v>
      </c>
      <c r="CP123" s="427">
        <v>1</v>
      </c>
      <c r="CQ123" s="427" t="s">
        <v>317</v>
      </c>
      <c r="CR123" s="320">
        <f t="shared" si="105"/>
        <v>1</v>
      </c>
      <c r="CS123" s="320">
        <f t="shared" si="115"/>
        <v>0</v>
      </c>
      <c r="CT123" s="320">
        <f t="shared" si="120"/>
        <v>1</v>
      </c>
      <c r="CU123" s="320">
        <f t="shared" si="121"/>
        <v>0</v>
      </c>
      <c r="CV123" s="427">
        <v>1</v>
      </c>
      <c r="CW123" s="17">
        <v>4</v>
      </c>
      <c r="CX123" s="320">
        <f t="shared" si="122"/>
        <v>0</v>
      </c>
      <c r="CY123" s="320">
        <f t="shared" si="107"/>
        <v>0</v>
      </c>
      <c r="CZ123" s="320">
        <f t="shared" si="108"/>
        <v>0</v>
      </c>
      <c r="DA123" s="17">
        <v>1</v>
      </c>
      <c r="DB123" s="17">
        <v>1</v>
      </c>
      <c r="DC123" s="17">
        <v>1</v>
      </c>
      <c r="DD123" s="31"/>
      <c r="DE123" s="323" t="s">
        <v>387</v>
      </c>
      <c r="DF123" s="323"/>
      <c r="DG123" s="323"/>
      <c r="DH123" s="323" t="s">
        <v>387</v>
      </c>
      <c r="DI123" s="323"/>
      <c r="DJ123" s="323"/>
      <c r="DK123" s="323"/>
      <c r="DL123" s="323"/>
      <c r="DM123" s="323" t="s">
        <v>1299</v>
      </c>
      <c r="DN123" s="323"/>
      <c r="DO123" s="323"/>
      <c r="DP123" s="324" t="s">
        <v>485</v>
      </c>
      <c r="DQ123" s="290"/>
      <c r="DR123" s="240">
        <f>SUM(DS123:DX123)/6</f>
        <v>0.33299114331723029</v>
      </c>
      <c r="DS123" s="429">
        <f t="shared" si="109"/>
        <v>0.21739130434782608</v>
      </c>
      <c r="DT123" s="429">
        <f>SUM(BA123:BE123,BG123)/5</f>
        <v>0.6</v>
      </c>
      <c r="DU123" s="429">
        <f>SUM(BI123,BO123,BS123,BU123:BW123)/6</f>
        <v>0.16666666666666666</v>
      </c>
      <c r="DV123" s="429">
        <f>SUM(BY123-CB123,CD123-CG123)/8</f>
        <v>0.125</v>
      </c>
      <c r="DW123" s="429">
        <f>SUM(CH123:CJ123,CL123:CO123,BN123,BR123)/9</f>
        <v>0.22222222222222221</v>
      </c>
      <c r="DX123" s="429">
        <f>SUM(CP123,CR123:CV123)/6</f>
        <v>0.66666666666666663</v>
      </c>
      <c r="DY123" s="444"/>
      <c r="DZ123" s="137" t="s">
        <v>733</v>
      </c>
      <c r="EA123" s="135"/>
      <c r="EB123" s="137" t="s">
        <v>747</v>
      </c>
      <c r="EC123" s="137" t="s">
        <v>748</v>
      </c>
      <c r="ED123" s="124">
        <v>2</v>
      </c>
      <c r="EH123" s="191"/>
      <c r="EI123" s="192"/>
      <c r="EJ123" s="193" t="e">
        <f t="shared" si="110"/>
        <v>#VALUE!</v>
      </c>
      <c r="EK123" s="194"/>
      <c r="EL123" s="194"/>
      <c r="EM123" s="194"/>
      <c r="EN123" s="479"/>
      <c r="EO123" s="479"/>
      <c r="EP123" s="479"/>
      <c r="EQ123" s="195"/>
      <c r="ER123" s="480"/>
      <c r="ES123" s="481"/>
      <c r="ET123" s="481"/>
      <c r="EU123" s="481"/>
      <c r="EV123" s="482"/>
      <c r="EZ123" s="393" t="s">
        <v>144</v>
      </c>
      <c r="FA123" s="393" t="s">
        <v>144</v>
      </c>
      <c r="FB123" s="389">
        <v>12536</v>
      </c>
      <c r="FC123" s="389">
        <v>11717</v>
      </c>
      <c r="FD123" s="389">
        <v>11308</v>
      </c>
      <c r="FE123" s="389">
        <v>13039.2</v>
      </c>
      <c r="FF123" s="389">
        <v>12552.8</v>
      </c>
      <c r="FG123" s="390">
        <v>-6.9813092088418542E-3</v>
      </c>
      <c r="FH123" s="390">
        <v>3.061903077467281E-2</v>
      </c>
      <c r="FI123" s="390">
        <v>-7.4605804037057698E-3</v>
      </c>
      <c r="FJ123" s="391" t="s">
        <v>1389</v>
      </c>
      <c r="FK123" s="391">
        <v>-1.2436582809759267</v>
      </c>
      <c r="FL123" s="31" t="s">
        <v>1390</v>
      </c>
      <c r="FN123" s="128" t="s">
        <v>1624</v>
      </c>
      <c r="FO123" s="128" t="s">
        <v>1625</v>
      </c>
      <c r="FP123" s="128"/>
    </row>
    <row r="124" spans="1:177" ht="22" customHeight="1" x14ac:dyDescent="0.2">
      <c r="A124" s="13" t="s">
        <v>7</v>
      </c>
      <c r="B124" s="14" t="s">
        <v>8</v>
      </c>
      <c r="C124" s="14"/>
      <c r="D124" s="14"/>
      <c r="E124" s="128" t="s">
        <v>1351</v>
      </c>
      <c r="F124" s="15" t="s">
        <v>1355</v>
      </c>
      <c r="G124" s="15" t="s">
        <v>634</v>
      </c>
      <c r="H124" s="91">
        <f t="shared" si="135"/>
        <v>1</v>
      </c>
      <c r="I124" s="95">
        <f t="shared" si="123"/>
        <v>0</v>
      </c>
      <c r="J124" s="91"/>
      <c r="K124" s="256">
        <f t="shared" si="125"/>
        <v>1</v>
      </c>
      <c r="L124" s="101">
        <v>0</v>
      </c>
      <c r="M124" s="25"/>
      <c r="N124" s="89"/>
      <c r="O124" s="98" t="str">
        <f t="shared" si="136"/>
        <v>N/A or not found_x000D__x000D_</v>
      </c>
      <c r="P124" s="98"/>
      <c r="Q124" s="360" t="s">
        <v>925</v>
      </c>
      <c r="R124" s="64" t="s">
        <v>918</v>
      </c>
      <c r="S124" s="437"/>
      <c r="T124" s="300" t="s">
        <v>834</v>
      </c>
      <c r="U124" s="300" t="s">
        <v>925</v>
      </c>
      <c r="V124" s="300" t="s">
        <v>925</v>
      </c>
      <c r="W124" s="258"/>
      <c r="X124" s="307" t="s">
        <v>834</v>
      </c>
      <c r="Y124" s="274"/>
      <c r="Z124" s="426"/>
      <c r="AA124" s="320">
        <f t="shared" si="130"/>
        <v>0</v>
      </c>
      <c r="AB124" s="320">
        <f t="shared" si="72"/>
        <v>0</v>
      </c>
      <c r="AC124" s="320">
        <f t="shared" si="73"/>
        <v>0</v>
      </c>
      <c r="AD124" s="320">
        <f t="shared" si="74"/>
        <v>0</v>
      </c>
      <c r="AE124" s="320">
        <f t="shared" si="111"/>
        <v>0</v>
      </c>
      <c r="AF124" s="320">
        <f t="shared" si="75"/>
        <v>0</v>
      </c>
      <c r="AG124" s="320">
        <f t="shared" si="129"/>
        <v>0</v>
      </c>
      <c r="AH124" s="427"/>
      <c r="AI124" s="320">
        <f t="shared" si="76"/>
        <v>0</v>
      </c>
      <c r="AJ124" s="320">
        <f t="shared" si="77"/>
        <v>0</v>
      </c>
      <c r="AK124" s="320">
        <f t="shared" si="78"/>
        <v>0</v>
      </c>
      <c r="AL124" s="320">
        <f t="shared" si="79"/>
        <v>0</v>
      </c>
      <c r="AM124" s="320">
        <f t="shared" si="80"/>
        <v>0</v>
      </c>
      <c r="AN124" s="320">
        <f t="shared" si="81"/>
        <v>0</v>
      </c>
      <c r="AO124" s="427"/>
      <c r="AP124" s="320">
        <f t="shared" si="112"/>
        <v>0</v>
      </c>
      <c r="AQ124" s="320">
        <f t="shared" si="82"/>
        <v>0</v>
      </c>
      <c r="AR124" s="320">
        <f t="shared" si="83"/>
        <v>0</v>
      </c>
      <c r="AS124" s="320">
        <f t="shared" si="84"/>
        <v>0</v>
      </c>
      <c r="AT124" s="320">
        <f t="shared" si="85"/>
        <v>0</v>
      </c>
      <c r="AU124" s="320">
        <f t="shared" si="86"/>
        <v>0</v>
      </c>
      <c r="AV124" s="427"/>
      <c r="AW124" s="320">
        <f t="shared" si="87"/>
        <v>0</v>
      </c>
      <c r="AX124" s="320">
        <f t="shared" si="88"/>
        <v>0</v>
      </c>
      <c r="AY124" s="320">
        <f t="shared" si="89"/>
        <v>0</v>
      </c>
      <c r="AZ124" s="320">
        <f t="shared" si="90"/>
        <v>0</v>
      </c>
      <c r="BA124" s="17">
        <v>0</v>
      </c>
      <c r="BB124" s="17">
        <v>0</v>
      </c>
      <c r="BC124" s="17">
        <v>0</v>
      </c>
      <c r="BD124" s="17">
        <v>0</v>
      </c>
      <c r="BE124" s="17">
        <v>0</v>
      </c>
      <c r="BF124" s="17">
        <v>0</v>
      </c>
      <c r="BG124" s="428">
        <f t="shared" si="131"/>
        <v>0</v>
      </c>
      <c r="BH124" s="17">
        <v>0</v>
      </c>
      <c r="BI124" s="17">
        <v>0</v>
      </c>
      <c r="BJ124" s="17">
        <v>0</v>
      </c>
      <c r="BK124" s="17">
        <v>0</v>
      </c>
      <c r="BL124" s="17">
        <v>0</v>
      </c>
      <c r="BM124" s="17">
        <v>0</v>
      </c>
      <c r="BN124" s="320">
        <f t="shared" si="132"/>
        <v>0</v>
      </c>
      <c r="BO124" s="320">
        <f t="shared" si="117"/>
        <v>0</v>
      </c>
      <c r="BP124" s="427">
        <v>0</v>
      </c>
      <c r="BQ124" s="427">
        <v>0</v>
      </c>
      <c r="BR124" s="320">
        <f t="shared" si="126"/>
        <v>0</v>
      </c>
      <c r="BS124" s="320">
        <f>IF(ISNUMBER(SEARCH("1",$BP124)),1,0)</f>
        <v>0</v>
      </c>
      <c r="BT124" s="427">
        <v>0</v>
      </c>
      <c r="BU124" s="320">
        <f t="shared" si="92"/>
        <v>0</v>
      </c>
      <c r="BV124" s="320">
        <f t="shared" si="93"/>
        <v>0</v>
      </c>
      <c r="BW124" s="320">
        <f t="shared" si="114"/>
        <v>0</v>
      </c>
      <c r="BX124" s="427"/>
      <c r="BY124" s="320">
        <f t="shared" si="133"/>
        <v>0</v>
      </c>
      <c r="BZ124" s="320">
        <f t="shared" si="95"/>
        <v>0</v>
      </c>
      <c r="CA124" s="320">
        <f t="shared" si="127"/>
        <v>0</v>
      </c>
      <c r="CB124" s="320">
        <f t="shared" si="134"/>
        <v>0</v>
      </c>
      <c r="CC124" s="427"/>
      <c r="CD124" s="320">
        <f t="shared" si="98"/>
        <v>0</v>
      </c>
      <c r="CE124" s="320">
        <f t="shared" si="99"/>
        <v>0</v>
      </c>
      <c r="CF124" s="320">
        <f t="shared" si="100"/>
        <v>0</v>
      </c>
      <c r="CG124" s="320">
        <f t="shared" si="101"/>
        <v>0</v>
      </c>
      <c r="CH124" s="427"/>
      <c r="CI124" s="427"/>
      <c r="CJ124" s="427"/>
      <c r="CK124" s="427"/>
      <c r="CL124" s="320">
        <f t="shared" si="116"/>
        <v>0</v>
      </c>
      <c r="CM124" s="320">
        <f t="shared" si="102"/>
        <v>0</v>
      </c>
      <c r="CN124" s="320">
        <f t="shared" si="103"/>
        <v>0</v>
      </c>
      <c r="CO124" s="320">
        <f t="shared" si="104"/>
        <v>0</v>
      </c>
      <c r="CP124" s="427"/>
      <c r="CQ124" s="427"/>
      <c r="CR124" s="320">
        <f t="shared" si="105"/>
        <v>0</v>
      </c>
      <c r="CS124" s="320">
        <f t="shared" si="115"/>
        <v>0</v>
      </c>
      <c r="CT124" s="320">
        <f t="shared" si="120"/>
        <v>0</v>
      </c>
      <c r="CU124" s="320">
        <f t="shared" si="121"/>
        <v>0</v>
      </c>
      <c r="CV124" s="427"/>
      <c r="CW124" s="17"/>
      <c r="CX124" s="320">
        <f t="shared" si="122"/>
        <v>0</v>
      </c>
      <c r="CY124" s="320">
        <f t="shared" si="107"/>
        <v>0</v>
      </c>
      <c r="CZ124" s="320">
        <f t="shared" si="108"/>
        <v>0</v>
      </c>
      <c r="DA124" s="17"/>
      <c r="DB124" s="17"/>
      <c r="DC124" s="17"/>
      <c r="DD124" s="31"/>
      <c r="DE124" s="346" t="s">
        <v>388</v>
      </c>
      <c r="DF124" s="346" t="s">
        <v>388</v>
      </c>
      <c r="DG124" s="346" t="s">
        <v>388</v>
      </c>
      <c r="DH124" s="346" t="s">
        <v>388</v>
      </c>
      <c r="DI124" s="346" t="s">
        <v>388</v>
      </c>
      <c r="DJ124" s="346" t="s">
        <v>388</v>
      </c>
      <c r="DK124" s="346" t="s">
        <v>388</v>
      </c>
      <c r="DL124" s="346" t="s">
        <v>388</v>
      </c>
      <c r="DM124" s="346" t="s">
        <v>388</v>
      </c>
      <c r="DN124" s="346" t="s">
        <v>388</v>
      </c>
      <c r="DO124" s="346" t="s">
        <v>388</v>
      </c>
      <c r="DP124" s="348"/>
      <c r="DQ124" s="384" t="s">
        <v>388</v>
      </c>
      <c r="DR124" s="241"/>
      <c r="DS124" s="429">
        <f t="shared" si="109"/>
        <v>0</v>
      </c>
      <c r="DT124" s="429"/>
      <c r="DU124" s="429"/>
      <c r="DV124" s="429"/>
      <c r="DW124" s="429"/>
      <c r="DX124" s="429"/>
      <c r="DY124" s="429"/>
      <c r="DZ124" s="134"/>
      <c r="EA124" s="134"/>
      <c r="EB124" s="134"/>
      <c r="EC124" s="134"/>
      <c r="ED124" s="123"/>
      <c r="EH124" s="170">
        <v>0</v>
      </c>
      <c r="EI124" s="164"/>
      <c r="EJ124" s="165" t="b">
        <f t="shared" si="110"/>
        <v>0</v>
      </c>
      <c r="EK124" s="173"/>
      <c r="EL124" s="173"/>
      <c r="EM124" s="173"/>
      <c r="EN124" s="468"/>
      <c r="EO124" s="468"/>
      <c r="EP124" s="468"/>
      <c r="EQ124" s="172"/>
      <c r="ER124" s="471">
        <v>1</v>
      </c>
      <c r="ES124" s="472"/>
      <c r="ET124" s="472"/>
      <c r="EU124" s="472"/>
      <c r="EV124" s="473"/>
      <c r="EZ124" s="393" t="s">
        <v>1351</v>
      </c>
      <c r="FA124" s="393" t="s">
        <v>1351</v>
      </c>
      <c r="FB124" s="389">
        <v>626</v>
      </c>
      <c r="FC124" s="389">
        <v>626</v>
      </c>
      <c r="FD124" s="389">
        <v>626</v>
      </c>
      <c r="FE124" s="389">
        <v>827</v>
      </c>
      <c r="FF124" s="389">
        <v>827</v>
      </c>
      <c r="FG124" s="390">
        <v>0</v>
      </c>
      <c r="FH124" s="390">
        <v>6.421725239616613E-2</v>
      </c>
      <c r="FI124" s="390">
        <v>0</v>
      </c>
      <c r="FJ124" s="391" t="s">
        <v>1389</v>
      </c>
      <c r="FK124" s="391">
        <v>-1</v>
      </c>
      <c r="FL124" s="31" t="s">
        <v>1394</v>
      </c>
      <c r="FN124" s="128" t="s">
        <v>1626</v>
      </c>
      <c r="FO124" s="128" t="s">
        <v>1627</v>
      </c>
      <c r="FP124" s="128" t="s">
        <v>1348</v>
      </c>
      <c r="FR124" s="402">
        <v>1</v>
      </c>
      <c r="FS124" s="402">
        <v>0</v>
      </c>
      <c r="FT124" s="402">
        <v>1</v>
      </c>
      <c r="FU124" s="402">
        <v>0</v>
      </c>
    </row>
    <row r="125" spans="1:177" ht="22" customHeight="1" x14ac:dyDescent="0.2">
      <c r="A125" s="13" t="s">
        <v>10</v>
      </c>
      <c r="B125" s="14" t="s">
        <v>11</v>
      </c>
      <c r="C125" s="9" t="s">
        <v>1041</v>
      </c>
      <c r="D125" s="14"/>
      <c r="E125" s="216" t="s">
        <v>145</v>
      </c>
      <c r="F125" s="15" t="s">
        <v>1355</v>
      </c>
      <c r="G125" s="176" t="s">
        <v>635</v>
      </c>
      <c r="H125" s="177">
        <f t="shared" si="135"/>
        <v>0</v>
      </c>
      <c r="I125" s="178">
        <f t="shared" si="123"/>
        <v>0</v>
      </c>
      <c r="J125" s="177"/>
      <c r="K125" s="275">
        <f t="shared" si="125"/>
        <v>0</v>
      </c>
      <c r="L125" s="283">
        <v>0</v>
      </c>
      <c r="M125" s="156"/>
      <c r="N125" s="157">
        <v>0</v>
      </c>
      <c r="O125" s="158" t="str">
        <f t="shared" si="136"/>
        <v>Reconstitution of forests on 200,000 ha by 2020_x000D__x000D_Morocco's target is to reduce its overall GHG emissions by 32% by 2030. 26% of these emission reductions will come from the agriculture sector, and 5% from the forest sector.</v>
      </c>
      <c r="P125" s="98" t="str">
        <f>CONCATENATE(V125,R125,X125)</f>
        <v>[Mitigation actions include]_x000D_• Improve the promotion of natural resources and their sustainable management._x000D_• Develop forestry and surrounding areas. _x000D_• Finalize land demarcation and registry of forested areas. _x000D_• Complete the suckering, renewal or afforestation of approximately 50,000 hectares per year, with a primary focus on natural species and support for high quality forest research when rehabilitating territory. _x000D_• Protect water basins against erosion and siltation of dams. _x000D_• Rehabilitate ecosystems and protect and promote natural areas as well as endangered species as resources. _x000D__x000D_Morocco's vision for adaptation involves several quantified sectorial goals for 2020 and 2030 [only goals directly related to ecosystems have been kept here]_x000D_The goals for 2020:_x000D_• Reconstitution of forests on 200,000 ha._x000D_The goals for 2030:_x000D_• Construction of 38 new dams and development of an inventory and the treatment of all sites vulnerable to flooding;_x000D_• Connection to the sewerage system and wastewater treatment to reach 100 % of urban areas;_x000D_• Wastewater treatment to reach 100 %;_x000D_• Savings of 2.4 billion m3/year of irrigation water;_x000D_• Conversion of nearly one million hectares of grain crops to fruit plantations that are likely to protect agricultural areas from all forms of erosion, especially water erosion;_x000D_• Treatment to prevent erosion of 1.5 million ha over a period of 20 years (75,000 ha /year), in 22 priority watersheds.</v>
      </c>
      <c r="Q125" s="360" t="s">
        <v>1261</v>
      </c>
      <c r="R125" s="64" t="s">
        <v>918</v>
      </c>
      <c r="S125" s="460" t="s">
        <v>1121</v>
      </c>
      <c r="T125" s="314" t="s">
        <v>1095</v>
      </c>
      <c r="U125" s="344" t="s">
        <v>1096</v>
      </c>
      <c r="V125" s="314" t="s">
        <v>1124</v>
      </c>
      <c r="W125" s="258"/>
      <c r="X125" s="306" t="s">
        <v>1123</v>
      </c>
      <c r="Y125" s="296"/>
      <c r="Z125" s="426">
        <v>1</v>
      </c>
      <c r="AA125" s="320">
        <f t="shared" si="130"/>
        <v>1</v>
      </c>
      <c r="AB125" s="320">
        <f t="shared" si="72"/>
        <v>0</v>
      </c>
      <c r="AC125" s="320">
        <f t="shared" si="73"/>
        <v>0</v>
      </c>
      <c r="AD125" s="320">
        <f t="shared" si="74"/>
        <v>0</v>
      </c>
      <c r="AE125" s="320">
        <f t="shared" si="111"/>
        <v>0</v>
      </c>
      <c r="AF125" s="320">
        <f t="shared" si="75"/>
        <v>0</v>
      </c>
      <c r="AG125" s="320">
        <f t="shared" si="129"/>
        <v>0</v>
      </c>
      <c r="AH125" s="427">
        <v>1</v>
      </c>
      <c r="AI125" s="320">
        <f t="shared" si="76"/>
        <v>1</v>
      </c>
      <c r="AJ125" s="320">
        <f t="shared" si="77"/>
        <v>0</v>
      </c>
      <c r="AK125" s="320">
        <f t="shared" si="78"/>
        <v>0</v>
      </c>
      <c r="AL125" s="320">
        <f t="shared" si="79"/>
        <v>0</v>
      </c>
      <c r="AM125" s="320">
        <f t="shared" si="80"/>
        <v>0</v>
      </c>
      <c r="AN125" s="320">
        <f t="shared" si="81"/>
        <v>0</v>
      </c>
      <c r="AO125" s="427">
        <v>1</v>
      </c>
      <c r="AP125" s="320">
        <f t="shared" si="112"/>
        <v>1</v>
      </c>
      <c r="AQ125" s="320">
        <f t="shared" si="82"/>
        <v>0</v>
      </c>
      <c r="AR125" s="320">
        <f t="shared" si="83"/>
        <v>0</v>
      </c>
      <c r="AS125" s="320">
        <f t="shared" si="84"/>
        <v>0</v>
      </c>
      <c r="AT125" s="320">
        <f t="shared" si="85"/>
        <v>0</v>
      </c>
      <c r="AU125" s="320">
        <f t="shared" si="86"/>
        <v>0</v>
      </c>
      <c r="AV125" s="427">
        <v>1</v>
      </c>
      <c r="AW125" s="320">
        <f t="shared" si="87"/>
        <v>1</v>
      </c>
      <c r="AX125" s="320">
        <f t="shared" si="88"/>
        <v>0</v>
      </c>
      <c r="AY125" s="320">
        <f t="shared" si="89"/>
        <v>0</v>
      </c>
      <c r="AZ125" s="320">
        <f t="shared" si="90"/>
        <v>0</v>
      </c>
      <c r="BA125" s="17">
        <v>1</v>
      </c>
      <c r="BB125" s="17" t="s">
        <v>1308</v>
      </c>
      <c r="BC125" s="17">
        <v>0</v>
      </c>
      <c r="BD125" s="17">
        <v>0</v>
      </c>
      <c r="BE125" s="17">
        <v>0</v>
      </c>
      <c r="BF125" s="17">
        <v>0</v>
      </c>
      <c r="BG125" s="428">
        <f t="shared" si="131"/>
        <v>0</v>
      </c>
      <c r="BH125" s="17">
        <v>1</v>
      </c>
      <c r="BI125" s="17">
        <v>1</v>
      </c>
      <c r="BJ125" s="17" t="s">
        <v>1096</v>
      </c>
      <c r="BK125" s="17">
        <v>0</v>
      </c>
      <c r="BL125" s="17">
        <v>1</v>
      </c>
      <c r="BM125" s="17" t="s">
        <v>834</v>
      </c>
      <c r="BN125" s="320">
        <f t="shared" si="132"/>
        <v>1</v>
      </c>
      <c r="BO125" s="320">
        <f t="shared" si="117"/>
        <v>0</v>
      </c>
      <c r="BP125" s="427">
        <v>0</v>
      </c>
      <c r="BQ125" s="427" t="s">
        <v>1253</v>
      </c>
      <c r="BR125" s="320">
        <f t="shared" si="126"/>
        <v>0</v>
      </c>
      <c r="BS125" s="320">
        <f>IF(ISNUMBER(SEARCH("1",$BP125)),1,0)</f>
        <v>0</v>
      </c>
      <c r="BT125" s="427">
        <v>1</v>
      </c>
      <c r="BU125" s="320">
        <f t="shared" si="92"/>
        <v>1</v>
      </c>
      <c r="BV125" s="320">
        <f t="shared" si="93"/>
        <v>0</v>
      </c>
      <c r="BW125" s="320">
        <f t="shared" si="114"/>
        <v>0</v>
      </c>
      <c r="BX125" s="427">
        <v>1</v>
      </c>
      <c r="BY125" s="320">
        <f t="shared" si="133"/>
        <v>1</v>
      </c>
      <c r="BZ125" s="320">
        <f t="shared" si="95"/>
        <v>0</v>
      </c>
      <c r="CA125" s="320">
        <f t="shared" si="127"/>
        <v>0</v>
      </c>
      <c r="CB125" s="320">
        <f t="shared" si="134"/>
        <v>0</v>
      </c>
      <c r="CC125" s="427"/>
      <c r="CD125" s="320">
        <f t="shared" si="98"/>
        <v>0</v>
      </c>
      <c r="CE125" s="320">
        <f t="shared" si="99"/>
        <v>0</v>
      </c>
      <c r="CF125" s="320">
        <f t="shared" si="100"/>
        <v>0</v>
      </c>
      <c r="CG125" s="320">
        <f t="shared" si="101"/>
        <v>0</v>
      </c>
      <c r="CH125" s="427">
        <v>1</v>
      </c>
      <c r="CI125" s="427">
        <v>0</v>
      </c>
      <c r="CJ125" s="427">
        <v>0</v>
      </c>
      <c r="CK125" s="427">
        <v>1</v>
      </c>
      <c r="CL125" s="320">
        <f t="shared" si="116"/>
        <v>1</v>
      </c>
      <c r="CM125" s="320">
        <f t="shared" si="102"/>
        <v>0</v>
      </c>
      <c r="CN125" s="320">
        <f t="shared" si="103"/>
        <v>0</v>
      </c>
      <c r="CO125" s="320">
        <f t="shared" si="104"/>
        <v>0</v>
      </c>
      <c r="CP125" s="427">
        <v>1</v>
      </c>
      <c r="CQ125" s="427" t="s">
        <v>833</v>
      </c>
      <c r="CR125" s="320">
        <f t="shared" si="105"/>
        <v>1</v>
      </c>
      <c r="CS125" s="320">
        <f t="shared" si="115"/>
        <v>1</v>
      </c>
      <c r="CT125" s="320">
        <f t="shared" si="120"/>
        <v>1</v>
      </c>
      <c r="CU125" s="320">
        <f t="shared" si="121"/>
        <v>0</v>
      </c>
      <c r="CV125" s="427">
        <v>1</v>
      </c>
      <c r="CW125" s="17">
        <v>4</v>
      </c>
      <c r="CX125" s="320">
        <f t="shared" si="122"/>
        <v>0</v>
      </c>
      <c r="CY125" s="320">
        <f t="shared" si="107"/>
        <v>0</v>
      </c>
      <c r="CZ125" s="320">
        <f t="shared" si="108"/>
        <v>0</v>
      </c>
      <c r="DA125" s="17"/>
      <c r="DB125" s="17"/>
      <c r="DC125" s="17">
        <v>1</v>
      </c>
      <c r="DD125" s="31"/>
      <c r="DE125" s="352">
        <v>1</v>
      </c>
      <c r="DF125" s="354" t="s">
        <v>388</v>
      </c>
      <c r="DG125" s="352" t="s">
        <v>1116</v>
      </c>
      <c r="DH125" s="352">
        <v>1</v>
      </c>
      <c r="DI125" s="346" t="s">
        <v>388</v>
      </c>
      <c r="DJ125" s="352" t="s">
        <v>1117</v>
      </c>
      <c r="DK125" s="352" t="s">
        <v>1115</v>
      </c>
      <c r="DL125" s="352" t="s">
        <v>1122</v>
      </c>
      <c r="DM125" s="352" t="s">
        <v>388</v>
      </c>
      <c r="DN125" s="352" t="s">
        <v>388</v>
      </c>
      <c r="DO125" s="352" t="s">
        <v>388</v>
      </c>
      <c r="DP125" s="353">
        <v>1</v>
      </c>
      <c r="DQ125" s="381"/>
      <c r="DR125" s="239">
        <f>SUM(DS125:DX125)/6</f>
        <v>0.33315217391304347</v>
      </c>
      <c r="DS125" s="429">
        <f t="shared" si="109"/>
        <v>0.17391304347826086</v>
      </c>
      <c r="DT125" s="429">
        <f>SUM(BA125:BE125,BG125)/5</f>
        <v>0.2</v>
      </c>
      <c r="DU125" s="429">
        <f>SUM(BI125,BO125,BS125,BU125:BW125)/6</f>
        <v>0.33333333333333331</v>
      </c>
      <c r="DV125" s="429">
        <f>SUM(BY125-CB125,CD125-CG125)/8</f>
        <v>0.125</v>
      </c>
      <c r="DW125" s="429">
        <f>SUM(CH125:CJ125,CL125:CO125,BN125,BR125)/9</f>
        <v>0.33333333333333331</v>
      </c>
      <c r="DX125" s="429">
        <f>SUM(CP125,CR125:CV125)/6</f>
        <v>0.83333333333333337</v>
      </c>
      <c r="DY125" s="461"/>
      <c r="DZ125" s="183"/>
      <c r="EA125" s="183"/>
      <c r="EB125" s="183"/>
      <c r="EC125" s="183"/>
      <c r="ED125" s="190"/>
      <c r="EH125" s="44"/>
      <c r="EI125" s="45"/>
      <c r="EJ125" s="33" t="b">
        <f t="shared" si="110"/>
        <v>0</v>
      </c>
      <c r="EK125" s="42"/>
      <c r="EL125" s="42"/>
      <c r="EM125" s="42"/>
      <c r="EN125" s="439"/>
      <c r="EO125" s="439"/>
      <c r="EP125" s="439"/>
      <c r="EQ125" s="38"/>
      <c r="ER125" s="440"/>
      <c r="ES125" s="431"/>
      <c r="ET125" s="431"/>
      <c r="EU125" s="431"/>
      <c r="EV125" s="447"/>
      <c r="EZ125" s="393" t="s">
        <v>145</v>
      </c>
      <c r="FA125" s="393" t="s">
        <v>145</v>
      </c>
      <c r="FB125" s="389">
        <v>4954</v>
      </c>
      <c r="FC125" s="389">
        <v>4993</v>
      </c>
      <c r="FD125" s="389">
        <v>5401</v>
      </c>
      <c r="FE125" s="389">
        <v>5672</v>
      </c>
      <c r="FF125" s="389">
        <v>5632</v>
      </c>
      <c r="FG125" s="390">
        <v>1.6342880032044864E-2</v>
      </c>
      <c r="FH125" s="390">
        <v>1.0035178670616552E-2</v>
      </c>
      <c r="FI125" s="390">
        <v>-1.4104372355430183E-3</v>
      </c>
      <c r="FJ125" s="391" t="s">
        <v>1389</v>
      </c>
      <c r="FK125" s="391">
        <v>-1.1405492898370451</v>
      </c>
      <c r="FL125" s="31" t="s">
        <v>1390</v>
      </c>
      <c r="FN125" s="216" t="s">
        <v>1628</v>
      </c>
      <c r="FO125" s="216" t="s">
        <v>1629</v>
      </c>
      <c r="FP125" s="215" t="s">
        <v>1346</v>
      </c>
      <c r="FR125" s="402">
        <v>1</v>
      </c>
      <c r="FS125" s="402">
        <v>1</v>
      </c>
      <c r="FT125" s="402">
        <v>1</v>
      </c>
      <c r="FU125" s="402">
        <v>1</v>
      </c>
    </row>
    <row r="126" spans="1:177" ht="22" hidden="1" customHeight="1" x14ac:dyDescent="0.2">
      <c r="A126" s="13" t="s">
        <v>10</v>
      </c>
      <c r="B126" s="14" t="s">
        <v>51</v>
      </c>
      <c r="C126" s="169" t="s">
        <v>1042</v>
      </c>
      <c r="D126" s="14"/>
      <c r="E126" s="129" t="s">
        <v>146</v>
      </c>
      <c r="F126" s="15"/>
      <c r="G126" s="15" t="s">
        <v>634</v>
      </c>
      <c r="H126" s="91">
        <f t="shared" si="135"/>
        <v>1</v>
      </c>
      <c r="I126" s="95">
        <f t="shared" si="123"/>
        <v>2</v>
      </c>
      <c r="J126" s="91"/>
      <c r="K126" s="256">
        <f t="shared" si="125"/>
        <v>3</v>
      </c>
      <c r="L126" s="101" t="s">
        <v>640</v>
      </c>
      <c r="M126" s="99"/>
      <c r="N126" s="26">
        <v>1000000</v>
      </c>
      <c r="O126" s="98" t="str">
        <f t="shared" si="136"/>
        <v>_x000D__x000D_</v>
      </c>
      <c r="P126" s="98" t="str">
        <f>CONCATENATE(V126,R126,X126)</f>
        <v>_x000D__x000D_</v>
      </c>
      <c r="Q126" s="55"/>
      <c r="R126" s="64" t="s">
        <v>918</v>
      </c>
      <c r="S126" s="425"/>
      <c r="T126" s="300" t="s">
        <v>859</v>
      </c>
      <c r="U126" s="300" t="s">
        <v>901</v>
      </c>
      <c r="V126" s="300" t="s">
        <v>834</v>
      </c>
      <c r="W126" s="258"/>
      <c r="X126" s="307" t="s">
        <v>834</v>
      </c>
      <c r="Y126" s="274"/>
      <c r="Z126" s="426"/>
      <c r="AA126" s="320">
        <f t="shared" si="130"/>
        <v>0</v>
      </c>
      <c r="AB126" s="320">
        <f t="shared" si="72"/>
        <v>0</v>
      </c>
      <c r="AC126" s="320">
        <f t="shared" si="73"/>
        <v>0</v>
      </c>
      <c r="AD126" s="320">
        <f t="shared" si="74"/>
        <v>0</v>
      </c>
      <c r="AE126" s="320">
        <f t="shared" si="111"/>
        <v>0</v>
      </c>
      <c r="AF126" s="320">
        <f t="shared" si="75"/>
        <v>0</v>
      </c>
      <c r="AG126" s="320">
        <f t="shared" si="129"/>
        <v>0</v>
      </c>
      <c r="AH126" s="427"/>
      <c r="AI126" s="320">
        <f t="shared" si="76"/>
        <v>0</v>
      </c>
      <c r="AJ126" s="320">
        <f t="shared" si="77"/>
        <v>0</v>
      </c>
      <c r="AK126" s="320">
        <f t="shared" si="78"/>
        <v>0</v>
      </c>
      <c r="AL126" s="320">
        <f t="shared" si="79"/>
        <v>0</v>
      </c>
      <c r="AM126" s="320">
        <f t="shared" si="80"/>
        <v>0</v>
      </c>
      <c r="AN126" s="320">
        <f t="shared" si="81"/>
        <v>0</v>
      </c>
      <c r="AO126" s="427"/>
      <c r="AP126" s="320">
        <f t="shared" si="112"/>
        <v>0</v>
      </c>
      <c r="AQ126" s="320">
        <f t="shared" si="82"/>
        <v>0</v>
      </c>
      <c r="AR126" s="320">
        <f t="shared" si="83"/>
        <v>0</v>
      </c>
      <c r="AS126" s="320">
        <f t="shared" si="84"/>
        <v>0</v>
      </c>
      <c r="AT126" s="320">
        <f t="shared" si="85"/>
        <v>0</v>
      </c>
      <c r="AU126" s="320">
        <f t="shared" si="86"/>
        <v>0</v>
      </c>
      <c r="AV126" s="427"/>
      <c r="AW126" s="320">
        <f t="shared" si="87"/>
        <v>0</v>
      </c>
      <c r="AX126" s="320">
        <f t="shared" si="88"/>
        <v>0</v>
      </c>
      <c r="AY126" s="320">
        <f t="shared" si="89"/>
        <v>0</v>
      </c>
      <c r="AZ126" s="320">
        <f t="shared" si="90"/>
        <v>0</v>
      </c>
      <c r="BA126" s="17"/>
      <c r="BB126" s="17" t="s">
        <v>859</v>
      </c>
      <c r="BC126" s="17"/>
      <c r="BD126" s="17"/>
      <c r="BE126" s="17"/>
      <c r="BF126" s="17"/>
      <c r="BG126" s="428">
        <f t="shared" si="131"/>
        <v>0</v>
      </c>
      <c r="BH126" s="17"/>
      <c r="BI126" s="17" t="s">
        <v>651</v>
      </c>
      <c r="BJ126" s="17"/>
      <c r="BK126" s="17"/>
      <c r="BL126" s="17"/>
      <c r="BM126" s="17"/>
      <c r="BN126" s="320">
        <f t="shared" si="132"/>
        <v>0</v>
      </c>
      <c r="BO126" s="320">
        <f t="shared" si="117"/>
        <v>0</v>
      </c>
      <c r="BP126" s="427"/>
      <c r="BQ126" s="427"/>
      <c r="BR126" s="320">
        <f t="shared" si="126"/>
        <v>0</v>
      </c>
      <c r="BS126" s="320">
        <f>IF(ISNUMBER(SEARCH("1",$BP126)),1,0)</f>
        <v>0</v>
      </c>
      <c r="BT126" s="427"/>
      <c r="BU126" s="320">
        <f t="shared" si="92"/>
        <v>0</v>
      </c>
      <c r="BV126" s="320">
        <f t="shared" si="93"/>
        <v>0</v>
      </c>
      <c r="BW126" s="320">
        <f t="shared" si="114"/>
        <v>0</v>
      </c>
      <c r="BX126" s="427"/>
      <c r="BY126" s="320">
        <f t="shared" si="133"/>
        <v>0</v>
      </c>
      <c r="BZ126" s="320">
        <f t="shared" si="95"/>
        <v>0</v>
      </c>
      <c r="CA126" s="320">
        <f t="shared" si="127"/>
        <v>0</v>
      </c>
      <c r="CB126" s="320">
        <f t="shared" si="134"/>
        <v>0</v>
      </c>
      <c r="CC126" s="427"/>
      <c r="CD126" s="320">
        <f t="shared" si="98"/>
        <v>0</v>
      </c>
      <c r="CE126" s="320">
        <f t="shared" si="99"/>
        <v>0</v>
      </c>
      <c r="CF126" s="320">
        <f t="shared" si="100"/>
        <v>0</v>
      </c>
      <c r="CG126" s="320">
        <f t="shared" si="101"/>
        <v>0</v>
      </c>
      <c r="CH126" s="427"/>
      <c r="CI126" s="427"/>
      <c r="CJ126" s="427"/>
      <c r="CK126" s="427"/>
      <c r="CL126" s="320">
        <f t="shared" si="116"/>
        <v>0</v>
      </c>
      <c r="CM126" s="320">
        <f t="shared" si="102"/>
        <v>0</v>
      </c>
      <c r="CN126" s="320">
        <f t="shared" si="103"/>
        <v>0</v>
      </c>
      <c r="CO126" s="320">
        <f t="shared" si="104"/>
        <v>0</v>
      </c>
      <c r="CP126" s="427"/>
      <c r="CQ126" s="427"/>
      <c r="CR126" s="320">
        <f t="shared" si="105"/>
        <v>0</v>
      </c>
      <c r="CS126" s="320">
        <f t="shared" si="115"/>
        <v>0</v>
      </c>
      <c r="CT126" s="320">
        <f t="shared" si="120"/>
        <v>0</v>
      </c>
      <c r="CU126" s="320">
        <f t="shared" si="121"/>
        <v>0</v>
      </c>
      <c r="CV126" s="427"/>
      <c r="CW126" s="17"/>
      <c r="CX126" s="320">
        <f t="shared" si="122"/>
        <v>0</v>
      </c>
      <c r="CY126" s="320">
        <f t="shared" si="107"/>
        <v>0</v>
      </c>
      <c r="CZ126" s="320">
        <f t="shared" si="108"/>
        <v>0</v>
      </c>
      <c r="DA126" s="17"/>
      <c r="DB126" s="17"/>
      <c r="DC126" s="17"/>
      <c r="DD126" s="31"/>
      <c r="DE126" s="321"/>
      <c r="DF126" s="321"/>
      <c r="DG126" s="321"/>
      <c r="DH126" s="321"/>
      <c r="DI126" s="321"/>
      <c r="DJ126" s="321"/>
      <c r="DK126" s="321"/>
      <c r="DL126" s="321"/>
      <c r="DM126" s="321"/>
      <c r="DN126" s="321"/>
      <c r="DO126" s="321"/>
      <c r="DP126" s="322"/>
      <c r="DQ126" s="288"/>
      <c r="DR126" s="243"/>
      <c r="DS126" s="429">
        <f t="shared" si="109"/>
        <v>0</v>
      </c>
      <c r="DT126" s="429">
        <f>SUM(BA126:BF126)/5</f>
        <v>0</v>
      </c>
      <c r="DU126" s="429"/>
      <c r="DV126" s="429"/>
      <c r="DW126" s="429"/>
      <c r="DX126" s="429"/>
      <c r="DY126" s="444"/>
      <c r="DZ126" s="134"/>
      <c r="EA126" s="134"/>
      <c r="EB126" s="134"/>
      <c r="EC126" s="134"/>
      <c r="ED126" s="123"/>
      <c r="EH126" s="198"/>
      <c r="EI126" s="199"/>
      <c r="EJ126" s="200" t="e">
        <f t="shared" si="110"/>
        <v>#VALUE!</v>
      </c>
      <c r="EK126" s="201"/>
      <c r="EL126" s="201"/>
      <c r="EM126" s="201"/>
      <c r="EN126" s="483"/>
      <c r="EO126" s="483"/>
      <c r="EP126" s="483"/>
      <c r="EQ126" s="202"/>
      <c r="ER126" s="484"/>
      <c r="ES126" s="485"/>
      <c r="ET126" s="485"/>
      <c r="EU126" s="485"/>
      <c r="EV126" s="486"/>
      <c r="EZ126" s="393" t="s">
        <v>146</v>
      </c>
      <c r="FA126" s="393" t="s">
        <v>146</v>
      </c>
      <c r="FB126" s="389">
        <v>43378</v>
      </c>
      <c r="FC126" s="389">
        <v>41188</v>
      </c>
      <c r="FD126" s="389">
        <v>40079</v>
      </c>
      <c r="FE126" s="389">
        <v>38972</v>
      </c>
      <c r="FF126" s="389">
        <v>37940</v>
      </c>
      <c r="FG126" s="390">
        <v>-5.3850636107604152E-3</v>
      </c>
      <c r="FH126" s="390">
        <v>-5.5240899224032539E-3</v>
      </c>
      <c r="FI126" s="390">
        <v>-5.2961100277122038E-3</v>
      </c>
      <c r="FJ126" s="391">
        <v>-4.1270127368214074E-2</v>
      </c>
      <c r="FK126" s="391" t="s">
        <v>1386</v>
      </c>
      <c r="FL126" s="31" t="s">
        <v>1391</v>
      </c>
      <c r="FN126" s="129" t="s">
        <v>1630</v>
      </c>
      <c r="FO126" s="129" t="s">
        <v>1631</v>
      </c>
      <c r="FP126" s="129"/>
    </row>
    <row r="127" spans="1:177" ht="22" hidden="1" customHeight="1" x14ac:dyDescent="0.2">
      <c r="A127" s="13" t="s">
        <v>4</v>
      </c>
      <c r="B127" s="14" t="s">
        <v>47</v>
      </c>
      <c r="C127" s="14"/>
      <c r="D127" s="14" t="s">
        <v>1068</v>
      </c>
      <c r="E127" s="128" t="s">
        <v>147</v>
      </c>
      <c r="F127" s="15" t="s">
        <v>638</v>
      </c>
      <c r="G127" s="15" t="s">
        <v>635</v>
      </c>
      <c r="H127" s="91">
        <f t="shared" si="135"/>
        <v>0</v>
      </c>
      <c r="I127" s="95">
        <f t="shared" si="123"/>
        <v>0</v>
      </c>
      <c r="J127" s="91"/>
      <c r="K127" s="256">
        <f t="shared" si="125"/>
        <v>0</v>
      </c>
      <c r="L127" s="101">
        <v>0</v>
      </c>
      <c r="M127" s="99"/>
      <c r="N127" s="89"/>
      <c r="O127" s="98" t="str">
        <f t="shared" si="136"/>
        <v>_x000D__x000D_</v>
      </c>
      <c r="P127" s="144" t="str">
        <f>CONCATENATE(V127,R127,X127)</f>
        <v xml:space="preserve">By 2030, Myanmar’s permanent forest estate (PFE) target is to increase national land area as forest land with the following percent of total land area:_x000D_• Reserved Forest (RF) and Protected Public Forest (PPF) = 30% of total national land area_x000D_• Protected Area Systems (PAS) = 10% of total national land area_x000D__x000D_Institutional Arrangements and Planning for Implementation_x000D_• To decrease the rate of deforestation so that a significant mitigation contribution from the sector can continue to be realised._x000D_• To preserve natural forest cover to maintain biodiversity and ecosystems in Myanmar_x000D_• To realize the co-benefits of the policy such as reducing soil erosion, thereby decreasing the risk of floods and landslides that may occur near rivers_x000D_• To increase the resilience of mangroves and coastal communities which are at risk of flooding._x000D_• To increase capacity Sustainable Forest Management._x000D__x000D_ </v>
      </c>
      <c r="Q127" s="55"/>
      <c r="R127" s="64" t="s">
        <v>918</v>
      </c>
      <c r="S127" s="425"/>
      <c r="T127" s="300" t="s">
        <v>1000</v>
      </c>
      <c r="U127" s="300" t="s">
        <v>1001</v>
      </c>
      <c r="V127" s="317" t="s">
        <v>930</v>
      </c>
      <c r="W127" s="258"/>
      <c r="X127" s="307" t="s">
        <v>924</v>
      </c>
      <c r="Y127" s="274"/>
      <c r="Z127" s="426" t="s">
        <v>221</v>
      </c>
      <c r="AA127" s="320">
        <f t="shared" si="130"/>
        <v>1</v>
      </c>
      <c r="AB127" s="320">
        <f t="shared" si="72"/>
        <v>1</v>
      </c>
      <c r="AC127" s="320">
        <f t="shared" si="73"/>
        <v>0</v>
      </c>
      <c r="AD127" s="320">
        <f t="shared" si="74"/>
        <v>0</v>
      </c>
      <c r="AE127" s="320">
        <f t="shared" si="111"/>
        <v>0</v>
      </c>
      <c r="AF127" s="320">
        <f t="shared" si="75"/>
        <v>0</v>
      </c>
      <c r="AG127" s="320">
        <f t="shared" si="129"/>
        <v>1</v>
      </c>
      <c r="AH127" s="427" t="s">
        <v>221</v>
      </c>
      <c r="AI127" s="320">
        <f t="shared" si="76"/>
        <v>1</v>
      </c>
      <c r="AJ127" s="320">
        <f t="shared" si="77"/>
        <v>1</v>
      </c>
      <c r="AK127" s="320">
        <f t="shared" si="78"/>
        <v>0</v>
      </c>
      <c r="AL127" s="320">
        <f t="shared" si="79"/>
        <v>0</v>
      </c>
      <c r="AM127" s="320">
        <f t="shared" si="80"/>
        <v>0</v>
      </c>
      <c r="AN127" s="320">
        <f t="shared" si="81"/>
        <v>0</v>
      </c>
      <c r="AO127" s="427">
        <v>0</v>
      </c>
      <c r="AP127" s="320">
        <f t="shared" si="112"/>
        <v>0</v>
      </c>
      <c r="AQ127" s="320">
        <f t="shared" si="82"/>
        <v>0</v>
      </c>
      <c r="AR127" s="320">
        <f t="shared" si="83"/>
        <v>0</v>
      </c>
      <c r="AS127" s="320">
        <f t="shared" si="84"/>
        <v>0</v>
      </c>
      <c r="AT127" s="320">
        <f t="shared" si="85"/>
        <v>0</v>
      </c>
      <c r="AU127" s="320">
        <f t="shared" si="86"/>
        <v>0</v>
      </c>
      <c r="AV127" s="427">
        <v>1</v>
      </c>
      <c r="AW127" s="320">
        <f t="shared" si="87"/>
        <v>1</v>
      </c>
      <c r="AX127" s="320">
        <f t="shared" si="88"/>
        <v>0</v>
      </c>
      <c r="AY127" s="320">
        <f t="shared" si="89"/>
        <v>0</v>
      </c>
      <c r="AZ127" s="320">
        <f t="shared" si="90"/>
        <v>0</v>
      </c>
      <c r="BA127" s="17">
        <v>1</v>
      </c>
      <c r="BB127" s="17" t="s">
        <v>1268</v>
      </c>
      <c r="BC127" s="17">
        <v>0</v>
      </c>
      <c r="BD127" s="17">
        <v>1</v>
      </c>
      <c r="BE127" s="17">
        <v>0</v>
      </c>
      <c r="BF127" s="17">
        <v>1</v>
      </c>
      <c r="BG127" s="428">
        <f t="shared" si="131"/>
        <v>1</v>
      </c>
      <c r="BH127" s="17">
        <v>1</v>
      </c>
      <c r="BI127" s="17">
        <v>1</v>
      </c>
      <c r="BJ127" s="17" t="s">
        <v>1199</v>
      </c>
      <c r="BK127" s="17"/>
      <c r="BL127" s="17">
        <v>1</v>
      </c>
      <c r="BM127" s="17" t="s">
        <v>1200</v>
      </c>
      <c r="BN127" s="320">
        <f t="shared" si="132"/>
        <v>1</v>
      </c>
      <c r="BO127" s="320">
        <f t="shared" si="117"/>
        <v>0</v>
      </c>
      <c r="BP127" s="427">
        <v>0</v>
      </c>
      <c r="BQ127" s="427" t="s">
        <v>1201</v>
      </c>
      <c r="BR127" s="320">
        <f t="shared" si="126"/>
        <v>0</v>
      </c>
      <c r="BS127" s="320">
        <f>IF(ISNUMBER(SEARCH("t",$BP127)),1,0)</f>
        <v>0</v>
      </c>
      <c r="BT127" s="427">
        <v>1</v>
      </c>
      <c r="BU127" s="320">
        <f t="shared" si="92"/>
        <v>1</v>
      </c>
      <c r="BV127" s="320">
        <f t="shared" si="93"/>
        <v>0</v>
      </c>
      <c r="BW127" s="320">
        <f t="shared" si="114"/>
        <v>0</v>
      </c>
      <c r="BX127" s="427" t="s">
        <v>361</v>
      </c>
      <c r="BY127" s="320">
        <f t="shared" si="133"/>
        <v>1</v>
      </c>
      <c r="BZ127" s="320">
        <f t="shared" si="95"/>
        <v>0</v>
      </c>
      <c r="CA127" s="320">
        <f t="shared" si="127"/>
        <v>1</v>
      </c>
      <c r="CB127" s="320">
        <f t="shared" si="134"/>
        <v>0</v>
      </c>
      <c r="CC127" s="427">
        <v>1</v>
      </c>
      <c r="CD127" s="320">
        <f t="shared" si="98"/>
        <v>1</v>
      </c>
      <c r="CE127" s="320">
        <f t="shared" si="99"/>
        <v>0</v>
      </c>
      <c r="CF127" s="320">
        <f t="shared" si="100"/>
        <v>0</v>
      </c>
      <c r="CG127" s="320">
        <f t="shared" si="101"/>
        <v>0</v>
      </c>
      <c r="CH127" s="427">
        <v>1</v>
      </c>
      <c r="CI127" s="427">
        <v>0</v>
      </c>
      <c r="CJ127" s="427">
        <v>0</v>
      </c>
      <c r="CK127" s="427">
        <v>0</v>
      </c>
      <c r="CL127" s="320">
        <f t="shared" si="116"/>
        <v>0</v>
      </c>
      <c r="CM127" s="320">
        <f t="shared" si="102"/>
        <v>0</v>
      </c>
      <c r="CN127" s="320">
        <f t="shared" si="103"/>
        <v>0</v>
      </c>
      <c r="CO127" s="320">
        <f t="shared" si="104"/>
        <v>0</v>
      </c>
      <c r="CP127" s="427">
        <v>1</v>
      </c>
      <c r="CQ127" s="427" t="s">
        <v>317</v>
      </c>
      <c r="CR127" s="320">
        <f t="shared" si="105"/>
        <v>1</v>
      </c>
      <c r="CS127" s="320">
        <f t="shared" si="115"/>
        <v>0</v>
      </c>
      <c r="CT127" s="320">
        <f t="shared" si="120"/>
        <v>1</v>
      </c>
      <c r="CU127" s="320">
        <f t="shared" si="121"/>
        <v>0</v>
      </c>
      <c r="CV127" s="427">
        <v>0</v>
      </c>
      <c r="CW127" s="17">
        <v>4</v>
      </c>
      <c r="CX127" s="320">
        <f t="shared" si="122"/>
        <v>0</v>
      </c>
      <c r="CY127" s="320">
        <f t="shared" si="107"/>
        <v>0</v>
      </c>
      <c r="CZ127" s="320">
        <f t="shared" si="108"/>
        <v>0</v>
      </c>
      <c r="DA127" s="17">
        <v>1</v>
      </c>
      <c r="DB127" s="17">
        <v>0</v>
      </c>
      <c r="DC127" s="17">
        <v>1</v>
      </c>
      <c r="DD127" s="31"/>
      <c r="DE127" s="323" t="s">
        <v>387</v>
      </c>
      <c r="DF127" s="323"/>
      <c r="DG127" s="323"/>
      <c r="DH127" s="323" t="s">
        <v>387</v>
      </c>
      <c r="DI127" s="323"/>
      <c r="DJ127" s="323"/>
      <c r="DK127" s="323"/>
      <c r="DL127" s="323"/>
      <c r="DM127" s="323"/>
      <c r="DN127" s="323"/>
      <c r="DO127" s="323"/>
      <c r="DP127" s="324"/>
      <c r="DQ127" s="288"/>
      <c r="DR127" s="240">
        <f>SUM(DS127:DX127)/6</f>
        <v>0.36107085346215778</v>
      </c>
      <c r="DS127" s="429">
        <f t="shared" si="109"/>
        <v>0.2608695652173913</v>
      </c>
      <c r="DT127" s="429">
        <f>SUM(BA127:BE127,BG127)/5</f>
        <v>0.6</v>
      </c>
      <c r="DU127" s="429">
        <f>SUM(BI127,BO127,BS127,BU127:BW127)/6</f>
        <v>0.33333333333333331</v>
      </c>
      <c r="DV127" s="429">
        <f>SUM(BY127-CB127,CD127-CG127)/8</f>
        <v>0.25</v>
      </c>
      <c r="DW127" s="429">
        <f>SUM(CH127:CJ127,CL127:CO127,BN127,BR127)/9</f>
        <v>0.22222222222222221</v>
      </c>
      <c r="DX127" s="429">
        <f>SUM(CP127,CR127:CV127)/6</f>
        <v>0.5</v>
      </c>
      <c r="DY127" s="444"/>
      <c r="DZ127" s="137" t="s">
        <v>727</v>
      </c>
      <c r="EA127" s="135"/>
      <c r="EB127" s="137" t="s">
        <v>744</v>
      </c>
      <c r="EC127" s="137" t="s">
        <v>753</v>
      </c>
      <c r="ED127" s="124">
        <v>2</v>
      </c>
      <c r="EH127" s="46"/>
      <c r="EI127" s="45"/>
      <c r="EJ127" s="33" t="b">
        <f t="shared" si="110"/>
        <v>0</v>
      </c>
      <c r="EK127" s="42"/>
      <c r="EL127" s="42"/>
      <c r="EM127" s="42"/>
      <c r="EN127" s="439"/>
      <c r="EO127" s="439"/>
      <c r="EP127" s="439"/>
      <c r="EQ127" s="47"/>
      <c r="ER127" s="440"/>
      <c r="ES127" s="431"/>
      <c r="ET127" s="431"/>
      <c r="EU127" s="431"/>
      <c r="EV127" s="447"/>
      <c r="EZ127" s="393" t="s">
        <v>147</v>
      </c>
      <c r="FA127" s="393" t="s">
        <v>147</v>
      </c>
      <c r="FB127" s="389">
        <v>39218</v>
      </c>
      <c r="FC127" s="389">
        <v>34868</v>
      </c>
      <c r="FD127" s="389">
        <v>33321</v>
      </c>
      <c r="FE127" s="389">
        <v>31773</v>
      </c>
      <c r="FF127" s="389">
        <v>29041</v>
      </c>
      <c r="FG127" s="390">
        <v>-8.87346564184926E-3</v>
      </c>
      <c r="FH127" s="390">
        <v>-9.29143783199784E-3</v>
      </c>
      <c r="FI127" s="390">
        <v>-1.7196991156012968E-2</v>
      </c>
      <c r="FJ127" s="391">
        <v>0.85084283691701568</v>
      </c>
      <c r="FK127" s="391" t="s">
        <v>1386</v>
      </c>
      <c r="FL127" s="31" t="s">
        <v>1379</v>
      </c>
      <c r="FN127" s="128" t="s">
        <v>1632</v>
      </c>
      <c r="FO127" s="128" t="s">
        <v>1633</v>
      </c>
      <c r="FP127" s="128"/>
    </row>
    <row r="128" spans="1:177" ht="22" hidden="1" customHeight="1" x14ac:dyDescent="0.2">
      <c r="A128" s="13" t="s">
        <v>10</v>
      </c>
      <c r="B128" s="14" t="s">
        <v>44</v>
      </c>
      <c r="C128" s="14"/>
      <c r="D128" s="14"/>
      <c r="E128" s="128" t="s">
        <v>148</v>
      </c>
      <c r="F128" s="15"/>
      <c r="G128" s="15" t="s">
        <v>635</v>
      </c>
      <c r="H128" s="91">
        <f t="shared" si="135"/>
        <v>0</v>
      </c>
      <c r="I128" s="95">
        <f t="shared" si="123"/>
        <v>0</v>
      </c>
      <c r="J128" s="91"/>
      <c r="K128" s="256">
        <f t="shared" si="125"/>
        <v>0</v>
      </c>
      <c r="L128" s="101">
        <v>0</v>
      </c>
      <c r="M128" s="25"/>
      <c r="N128" s="89"/>
      <c r="O128" s="98" t="str">
        <f t="shared" si="136"/>
        <v>_x000D__x000D_</v>
      </c>
      <c r="P128" s="98"/>
      <c r="Q128" s="55"/>
      <c r="R128" s="64" t="s">
        <v>918</v>
      </c>
      <c r="S128" s="425"/>
      <c r="T128" s="300" t="s">
        <v>879</v>
      </c>
      <c r="U128" s="300" t="s">
        <v>834</v>
      </c>
      <c r="V128" s="300" t="s">
        <v>834</v>
      </c>
      <c r="W128" s="258"/>
      <c r="X128" s="307" t="s">
        <v>834</v>
      </c>
      <c r="Y128" s="274"/>
      <c r="Z128" s="426"/>
      <c r="AA128" s="320">
        <f t="shared" si="130"/>
        <v>0</v>
      </c>
      <c r="AB128" s="320">
        <f t="shared" si="72"/>
        <v>0</v>
      </c>
      <c r="AC128" s="320">
        <f t="shared" si="73"/>
        <v>0</v>
      </c>
      <c r="AD128" s="320">
        <f t="shared" si="74"/>
        <v>0</v>
      </c>
      <c r="AE128" s="320">
        <f t="shared" si="111"/>
        <v>0</v>
      </c>
      <c r="AF128" s="320">
        <f t="shared" si="75"/>
        <v>0</v>
      </c>
      <c r="AG128" s="320">
        <f t="shared" si="129"/>
        <v>0</v>
      </c>
      <c r="AH128" s="427"/>
      <c r="AI128" s="320">
        <f t="shared" si="76"/>
        <v>0</v>
      </c>
      <c r="AJ128" s="320">
        <f t="shared" si="77"/>
        <v>0</v>
      </c>
      <c r="AK128" s="320">
        <f t="shared" si="78"/>
        <v>0</v>
      </c>
      <c r="AL128" s="320">
        <f t="shared" si="79"/>
        <v>0</v>
      </c>
      <c r="AM128" s="320">
        <f t="shared" si="80"/>
        <v>0</v>
      </c>
      <c r="AN128" s="320">
        <f t="shared" si="81"/>
        <v>0</v>
      </c>
      <c r="AO128" s="427"/>
      <c r="AP128" s="320">
        <f t="shared" si="112"/>
        <v>0</v>
      </c>
      <c r="AQ128" s="320">
        <f t="shared" si="82"/>
        <v>0</v>
      </c>
      <c r="AR128" s="320">
        <f t="shared" si="83"/>
        <v>0</v>
      </c>
      <c r="AS128" s="320">
        <f t="shared" si="84"/>
        <v>0</v>
      </c>
      <c r="AT128" s="320">
        <f t="shared" si="85"/>
        <v>0</v>
      </c>
      <c r="AU128" s="320">
        <f t="shared" si="86"/>
        <v>0</v>
      </c>
      <c r="AV128" s="427"/>
      <c r="AW128" s="320">
        <f t="shared" si="87"/>
        <v>0</v>
      </c>
      <c r="AX128" s="320">
        <f t="shared" si="88"/>
        <v>0</v>
      </c>
      <c r="AY128" s="320">
        <f t="shared" si="89"/>
        <v>0</v>
      </c>
      <c r="AZ128" s="320">
        <f t="shared" si="90"/>
        <v>0</v>
      </c>
      <c r="BA128" s="17">
        <v>1</v>
      </c>
      <c r="BB128" s="17" t="s">
        <v>879</v>
      </c>
      <c r="BC128" s="17"/>
      <c r="BD128" s="17"/>
      <c r="BE128" s="17"/>
      <c r="BF128" s="17"/>
      <c r="BG128" s="428">
        <f t="shared" si="131"/>
        <v>0</v>
      </c>
      <c r="BH128" s="17"/>
      <c r="BI128" s="17"/>
      <c r="BJ128" s="17"/>
      <c r="BK128" s="17"/>
      <c r="BL128" s="17"/>
      <c r="BM128" s="17"/>
      <c r="BN128" s="320">
        <f t="shared" si="132"/>
        <v>0</v>
      </c>
      <c r="BO128" s="320">
        <f t="shared" si="117"/>
        <v>0</v>
      </c>
      <c r="BP128" s="427"/>
      <c r="BQ128" s="427"/>
      <c r="BR128" s="320">
        <f t="shared" si="126"/>
        <v>0</v>
      </c>
      <c r="BS128" s="320">
        <f>IF(ISNUMBER(SEARCH("1",$BP128)),1,0)</f>
        <v>0</v>
      </c>
      <c r="BT128" s="427"/>
      <c r="BU128" s="320">
        <f t="shared" si="92"/>
        <v>0</v>
      </c>
      <c r="BV128" s="320">
        <f t="shared" si="93"/>
        <v>0</v>
      </c>
      <c r="BW128" s="320">
        <f t="shared" si="114"/>
        <v>0</v>
      </c>
      <c r="BX128" s="427"/>
      <c r="BY128" s="320">
        <f t="shared" si="133"/>
        <v>0</v>
      </c>
      <c r="BZ128" s="320">
        <f t="shared" si="95"/>
        <v>0</v>
      </c>
      <c r="CA128" s="320">
        <f t="shared" si="127"/>
        <v>0</v>
      </c>
      <c r="CB128" s="320">
        <f t="shared" si="134"/>
        <v>0</v>
      </c>
      <c r="CC128" s="427"/>
      <c r="CD128" s="320">
        <f t="shared" si="98"/>
        <v>0</v>
      </c>
      <c r="CE128" s="320">
        <f t="shared" si="99"/>
        <v>0</v>
      </c>
      <c r="CF128" s="320">
        <f t="shared" si="100"/>
        <v>0</v>
      </c>
      <c r="CG128" s="320">
        <f t="shared" si="101"/>
        <v>0</v>
      </c>
      <c r="CH128" s="427"/>
      <c r="CI128" s="427"/>
      <c r="CJ128" s="427"/>
      <c r="CK128" s="427"/>
      <c r="CL128" s="320">
        <f t="shared" si="116"/>
        <v>0</v>
      </c>
      <c r="CM128" s="320">
        <f t="shared" si="102"/>
        <v>0</v>
      </c>
      <c r="CN128" s="320">
        <f t="shared" si="103"/>
        <v>0</v>
      </c>
      <c r="CO128" s="320">
        <f t="shared" si="104"/>
        <v>0</v>
      </c>
      <c r="CP128" s="427"/>
      <c r="CQ128" s="427"/>
      <c r="CR128" s="320">
        <f t="shared" si="105"/>
        <v>0</v>
      </c>
      <c r="CS128" s="320">
        <f t="shared" si="115"/>
        <v>0</v>
      </c>
      <c r="CT128" s="320">
        <f t="shared" si="120"/>
        <v>0</v>
      </c>
      <c r="CU128" s="320">
        <f t="shared" si="121"/>
        <v>0</v>
      </c>
      <c r="CV128" s="427"/>
      <c r="CW128" s="17"/>
      <c r="CX128" s="320">
        <f t="shared" si="122"/>
        <v>0</v>
      </c>
      <c r="CY128" s="320">
        <f t="shared" si="107"/>
        <v>0</v>
      </c>
      <c r="CZ128" s="320">
        <f t="shared" si="108"/>
        <v>0</v>
      </c>
      <c r="DA128" s="17"/>
      <c r="DB128" s="17"/>
      <c r="DC128" s="17"/>
      <c r="DD128" s="31"/>
      <c r="DE128" s="321"/>
      <c r="DF128" s="321"/>
      <c r="DG128" s="321"/>
      <c r="DH128" s="321"/>
      <c r="DI128" s="321"/>
      <c r="DJ128" s="321"/>
      <c r="DK128" s="321"/>
      <c r="DL128" s="321"/>
      <c r="DM128" s="321"/>
      <c r="DN128" s="321"/>
      <c r="DO128" s="321"/>
      <c r="DP128" s="322"/>
      <c r="DQ128" s="288"/>
      <c r="DR128" s="241"/>
      <c r="DS128" s="429">
        <f t="shared" si="109"/>
        <v>0</v>
      </c>
      <c r="DT128" s="429"/>
      <c r="DU128" s="429"/>
      <c r="DV128" s="429"/>
      <c r="DW128" s="429"/>
      <c r="DX128" s="429"/>
      <c r="DY128" s="429"/>
      <c r="DZ128" s="134"/>
      <c r="EA128" s="134"/>
      <c r="EB128" s="134"/>
      <c r="EC128" s="134"/>
      <c r="ED128" s="123"/>
      <c r="EH128" s="44">
        <v>2</v>
      </c>
      <c r="EI128" s="45"/>
      <c r="EJ128" s="33" t="b">
        <f t="shared" si="110"/>
        <v>0</v>
      </c>
      <c r="EK128" s="42"/>
      <c r="EL128" s="42"/>
      <c r="EM128" s="42"/>
      <c r="EN128" s="439"/>
      <c r="EO128" s="439"/>
      <c r="EP128" s="439"/>
      <c r="EQ128" s="38"/>
      <c r="ER128" s="440"/>
      <c r="ES128" s="431"/>
      <c r="ET128" s="431" t="s">
        <v>662</v>
      </c>
      <c r="EU128" s="431"/>
      <c r="EV128" s="447"/>
      <c r="EZ128" s="393" t="s">
        <v>148</v>
      </c>
      <c r="FA128" s="393" t="s">
        <v>148</v>
      </c>
      <c r="FB128" s="389">
        <v>8762</v>
      </c>
      <c r="FC128" s="389">
        <v>8032</v>
      </c>
      <c r="FD128" s="389">
        <v>7661</v>
      </c>
      <c r="FE128" s="389">
        <v>7290</v>
      </c>
      <c r="FF128" s="389">
        <v>6919</v>
      </c>
      <c r="FG128" s="390">
        <v>-9.2380478087649397E-3</v>
      </c>
      <c r="FH128" s="390">
        <v>-9.6854196580080931E-3</v>
      </c>
      <c r="FI128" s="390">
        <v>-1.017832647462277E-2</v>
      </c>
      <c r="FJ128" s="391">
        <v>5.0891632373113699E-2</v>
      </c>
      <c r="FK128" s="391" t="s">
        <v>1386</v>
      </c>
      <c r="FL128" s="31" t="s">
        <v>1379</v>
      </c>
      <c r="FN128" s="128" t="s">
        <v>1332</v>
      </c>
      <c r="FO128" s="128" t="s">
        <v>1634</v>
      </c>
      <c r="FP128" s="128"/>
    </row>
    <row r="129" spans="1:172" ht="22" hidden="1" customHeight="1" x14ac:dyDescent="0.2">
      <c r="A129" s="13" t="s">
        <v>24</v>
      </c>
      <c r="B129" s="21" t="s">
        <v>121</v>
      </c>
      <c r="C129" s="21"/>
      <c r="D129" s="21"/>
      <c r="E129" s="128" t="s">
        <v>149</v>
      </c>
      <c r="F129" s="20"/>
      <c r="G129" s="15" t="s">
        <v>634</v>
      </c>
      <c r="H129" s="91">
        <f t="shared" si="135"/>
        <v>1</v>
      </c>
      <c r="I129" s="95">
        <f t="shared" si="123"/>
        <v>0</v>
      </c>
      <c r="J129" s="95"/>
      <c r="K129" s="256">
        <f t="shared" si="125"/>
        <v>1</v>
      </c>
      <c r="L129" s="278">
        <v>0</v>
      </c>
      <c r="M129" s="25"/>
      <c r="N129" s="89"/>
      <c r="O129" s="98" t="str">
        <f t="shared" si="136"/>
        <v>_x000D__x000D_</v>
      </c>
      <c r="P129" s="98"/>
      <c r="Q129" s="55"/>
      <c r="R129" s="64" t="s">
        <v>918</v>
      </c>
      <c r="S129" s="425"/>
      <c r="T129" s="300" t="s">
        <v>834</v>
      </c>
      <c r="U129" s="300" t="s">
        <v>834</v>
      </c>
      <c r="V129" s="300" t="s">
        <v>834</v>
      </c>
      <c r="W129" s="258"/>
      <c r="X129" s="307" t="s">
        <v>834</v>
      </c>
      <c r="Y129" s="274"/>
      <c r="Z129" s="426"/>
      <c r="AA129" s="320">
        <f t="shared" si="130"/>
        <v>0</v>
      </c>
      <c r="AB129" s="320">
        <f t="shared" si="72"/>
        <v>0</v>
      </c>
      <c r="AC129" s="320">
        <f t="shared" si="73"/>
        <v>0</v>
      </c>
      <c r="AD129" s="320">
        <f t="shared" si="74"/>
        <v>0</v>
      </c>
      <c r="AE129" s="320">
        <f t="shared" si="111"/>
        <v>0</v>
      </c>
      <c r="AF129" s="320">
        <f t="shared" si="75"/>
        <v>0</v>
      </c>
      <c r="AG129" s="320">
        <f t="shared" si="129"/>
        <v>0</v>
      </c>
      <c r="AH129" s="427"/>
      <c r="AI129" s="320">
        <f t="shared" si="76"/>
        <v>0</v>
      </c>
      <c r="AJ129" s="320">
        <f t="shared" si="77"/>
        <v>0</v>
      </c>
      <c r="AK129" s="320">
        <f t="shared" si="78"/>
        <v>0</v>
      </c>
      <c r="AL129" s="320">
        <f t="shared" si="79"/>
        <v>0</v>
      </c>
      <c r="AM129" s="320">
        <f t="shared" si="80"/>
        <v>0</v>
      </c>
      <c r="AN129" s="320">
        <f t="shared" si="81"/>
        <v>0</v>
      </c>
      <c r="AO129" s="427"/>
      <c r="AP129" s="320">
        <f t="shared" si="112"/>
        <v>0</v>
      </c>
      <c r="AQ129" s="320">
        <f t="shared" si="82"/>
        <v>0</v>
      </c>
      <c r="AR129" s="320">
        <f t="shared" si="83"/>
        <v>0</v>
      </c>
      <c r="AS129" s="320">
        <f t="shared" si="84"/>
        <v>0</v>
      </c>
      <c r="AT129" s="320">
        <f t="shared" si="85"/>
        <v>0</v>
      </c>
      <c r="AU129" s="320">
        <f t="shared" si="86"/>
        <v>0</v>
      </c>
      <c r="AV129" s="427"/>
      <c r="AW129" s="320">
        <f t="shared" si="87"/>
        <v>0</v>
      </c>
      <c r="AX129" s="320">
        <f t="shared" si="88"/>
        <v>0</v>
      </c>
      <c r="AY129" s="320">
        <f t="shared" si="89"/>
        <v>0</v>
      </c>
      <c r="AZ129" s="320">
        <f t="shared" si="90"/>
        <v>0</v>
      </c>
      <c r="BA129" s="17"/>
      <c r="BB129" s="17" t="s">
        <v>834</v>
      </c>
      <c r="BC129" s="17"/>
      <c r="BD129" s="17"/>
      <c r="BE129" s="17"/>
      <c r="BF129" s="17"/>
      <c r="BG129" s="428">
        <f t="shared" si="131"/>
        <v>0</v>
      </c>
      <c r="BH129" s="17"/>
      <c r="BI129" s="17"/>
      <c r="BJ129" s="17"/>
      <c r="BK129" s="17"/>
      <c r="BL129" s="17"/>
      <c r="BM129" s="17"/>
      <c r="BN129" s="320">
        <f t="shared" si="132"/>
        <v>0</v>
      </c>
      <c r="BO129" s="320">
        <f t="shared" si="117"/>
        <v>0</v>
      </c>
      <c r="BP129" s="427"/>
      <c r="BQ129" s="427"/>
      <c r="BR129" s="320">
        <f t="shared" si="126"/>
        <v>0</v>
      </c>
      <c r="BS129" s="320">
        <f>IF(ISNUMBER(SEARCH("1",$BP129)),1,0)</f>
        <v>0</v>
      </c>
      <c r="BT129" s="427"/>
      <c r="BU129" s="320">
        <f t="shared" si="92"/>
        <v>0</v>
      </c>
      <c r="BV129" s="320">
        <f t="shared" si="93"/>
        <v>0</v>
      </c>
      <c r="BW129" s="320">
        <f t="shared" si="114"/>
        <v>0</v>
      </c>
      <c r="BX129" s="427"/>
      <c r="BY129" s="320">
        <f t="shared" si="133"/>
        <v>0</v>
      </c>
      <c r="BZ129" s="320">
        <f t="shared" si="95"/>
        <v>0</v>
      </c>
      <c r="CA129" s="320">
        <f t="shared" si="127"/>
        <v>0</v>
      </c>
      <c r="CB129" s="320">
        <f t="shared" si="134"/>
        <v>0</v>
      </c>
      <c r="CC129" s="427"/>
      <c r="CD129" s="320">
        <f t="shared" si="98"/>
        <v>0</v>
      </c>
      <c r="CE129" s="320">
        <f t="shared" si="99"/>
        <v>0</v>
      </c>
      <c r="CF129" s="320">
        <f t="shared" si="100"/>
        <v>0</v>
      </c>
      <c r="CG129" s="320">
        <f t="shared" si="101"/>
        <v>0</v>
      </c>
      <c r="CH129" s="427"/>
      <c r="CI129" s="427"/>
      <c r="CJ129" s="427"/>
      <c r="CK129" s="427"/>
      <c r="CL129" s="320">
        <f t="shared" si="116"/>
        <v>0</v>
      </c>
      <c r="CM129" s="320">
        <f t="shared" si="102"/>
        <v>0</v>
      </c>
      <c r="CN129" s="320">
        <f t="shared" si="103"/>
        <v>0</v>
      </c>
      <c r="CO129" s="320">
        <f t="shared" si="104"/>
        <v>0</v>
      </c>
      <c r="CP129" s="427"/>
      <c r="CQ129" s="427"/>
      <c r="CR129" s="320">
        <f t="shared" si="105"/>
        <v>0</v>
      </c>
      <c r="CS129" s="320">
        <f t="shared" si="115"/>
        <v>0</v>
      </c>
      <c r="CT129" s="320">
        <f t="shared" si="120"/>
        <v>0</v>
      </c>
      <c r="CU129" s="320">
        <f t="shared" si="121"/>
        <v>0</v>
      </c>
      <c r="CV129" s="427"/>
      <c r="CW129" s="17"/>
      <c r="CX129" s="320">
        <f t="shared" si="122"/>
        <v>0</v>
      </c>
      <c r="CY129" s="320">
        <f t="shared" si="107"/>
        <v>0</v>
      </c>
      <c r="CZ129" s="320">
        <f t="shared" si="108"/>
        <v>0</v>
      </c>
      <c r="DA129" s="17"/>
      <c r="DB129" s="17"/>
      <c r="DC129" s="17"/>
      <c r="DD129" s="31"/>
      <c r="DE129" s="323"/>
      <c r="DF129" s="323"/>
      <c r="DG129" s="323"/>
      <c r="DH129" s="323"/>
      <c r="DI129" s="323"/>
      <c r="DJ129" s="323"/>
      <c r="DK129" s="323"/>
      <c r="DL129" s="323"/>
      <c r="DM129" s="323"/>
      <c r="DN129" s="323"/>
      <c r="DO129" s="323"/>
      <c r="DP129" s="324"/>
      <c r="DQ129" s="288"/>
      <c r="DR129" s="242"/>
      <c r="DS129" s="429">
        <f t="shared" si="109"/>
        <v>0</v>
      </c>
      <c r="DT129" s="429"/>
      <c r="DU129" s="429"/>
      <c r="DV129" s="429"/>
      <c r="DW129" s="429"/>
      <c r="DX129" s="429"/>
      <c r="DY129" s="429"/>
      <c r="DZ129" s="134"/>
      <c r="EA129" s="134"/>
      <c r="EB129" s="134"/>
      <c r="EC129" s="134"/>
      <c r="ED129" s="123"/>
      <c r="EH129" s="46"/>
      <c r="EI129" s="45"/>
      <c r="EJ129" s="33" t="b">
        <f t="shared" si="110"/>
        <v>0</v>
      </c>
      <c r="EK129" s="42"/>
      <c r="EL129" s="42"/>
      <c r="EM129" s="42"/>
      <c r="EN129" s="439"/>
      <c r="EO129" s="439"/>
      <c r="EP129" s="439"/>
      <c r="EQ129" s="47"/>
      <c r="ER129" s="440"/>
      <c r="ES129" s="431"/>
      <c r="ET129" s="431"/>
      <c r="EU129" s="431"/>
      <c r="EV129" s="447"/>
      <c r="EZ129" s="393" t="s">
        <v>149</v>
      </c>
      <c r="FA129" s="393" t="s">
        <v>149</v>
      </c>
      <c r="FB129" s="389">
        <v>0</v>
      </c>
      <c r="FC129" s="389">
        <v>0</v>
      </c>
      <c r="FD129" s="389">
        <v>0</v>
      </c>
      <c r="FE129" s="389">
        <v>0</v>
      </c>
      <c r="FF129" s="389">
        <v>0</v>
      </c>
      <c r="FG129" s="390" t="s">
        <v>1375</v>
      </c>
      <c r="FH129" s="390" t="s">
        <v>1375</v>
      </c>
      <c r="FI129" s="390" t="s">
        <v>1375</v>
      </c>
      <c r="FJ129" s="391" t="s">
        <v>1389</v>
      </c>
      <c r="FK129" s="391" t="e">
        <v>#VALUE!</v>
      </c>
      <c r="FL129" s="31" t="s">
        <v>1375</v>
      </c>
      <c r="FN129" s="342" t="s">
        <v>1635</v>
      </c>
      <c r="FO129" s="342" t="s">
        <v>1636</v>
      </c>
      <c r="FP129" s="342"/>
    </row>
    <row r="130" spans="1:172" ht="22" hidden="1" customHeight="1" x14ac:dyDescent="0.2">
      <c r="A130" s="13" t="s">
        <v>4</v>
      </c>
      <c r="B130" s="14" t="s">
        <v>5</v>
      </c>
      <c r="C130" s="363" t="s">
        <v>1043</v>
      </c>
      <c r="D130" s="236" t="s">
        <v>1068</v>
      </c>
      <c r="E130" s="127" t="s">
        <v>150</v>
      </c>
      <c r="F130" s="15" t="s">
        <v>638</v>
      </c>
      <c r="G130" s="15" t="s">
        <v>635</v>
      </c>
      <c r="H130" s="91">
        <f t="shared" si="135"/>
        <v>0</v>
      </c>
      <c r="I130" s="95">
        <f t="shared" si="123"/>
        <v>2</v>
      </c>
      <c r="J130" s="91">
        <v>2</v>
      </c>
      <c r="K130" s="256">
        <f t="shared" si="125"/>
        <v>4</v>
      </c>
      <c r="L130" s="101" t="s">
        <v>678</v>
      </c>
      <c r="M130" s="99">
        <v>1</v>
      </c>
      <c r="N130" s="89"/>
      <c r="O130" s="98" t="str">
        <f t="shared" si="136"/>
        <v>40% of the total area of the country under forests_x000D__x000D_-</v>
      </c>
      <c r="P130" s="144" t="str">
        <f>CONCATENATE(V130,R130,X130)</f>
        <v>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_x000D_Forest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resources._x000D__x000D_Nepal’s Pilot Program for Climate Resilience (PPCR) compromises four components:_x000D_ i) Building Climate Resilience of Watersheds in Mountain Eco Regions,_x000D_ ii) Building Resilience to Climate Related Hazards,_x000D_ iii) Mainstreaming Climate Change Risk Management in Development, and_x000D_iv) Building Climate Resilient Communities through Private Sector Participation._x000D_All the PPCR components have been launched and are at different stages of implementation. The ongoing programs are complimenting each other and various climate change programs in Nepal including those to implement LAPAs and other NAPA priorities.</v>
      </c>
      <c r="Q130" s="55" t="s">
        <v>508</v>
      </c>
      <c r="R130" s="64" t="s">
        <v>918</v>
      </c>
      <c r="S130" s="446" t="s">
        <v>386</v>
      </c>
      <c r="T130" s="300" t="s">
        <v>1003</v>
      </c>
      <c r="U130" s="300" t="s">
        <v>1002</v>
      </c>
      <c r="V130" s="317" t="s">
        <v>931</v>
      </c>
      <c r="W130" s="258" t="s">
        <v>487</v>
      </c>
      <c r="X130" s="307" t="s">
        <v>932</v>
      </c>
      <c r="Y130" s="297"/>
      <c r="Z130" s="426" t="s">
        <v>324</v>
      </c>
      <c r="AA130" s="320">
        <f t="shared" si="130"/>
        <v>0</v>
      </c>
      <c r="AB130" s="320">
        <f t="shared" si="72"/>
        <v>0</v>
      </c>
      <c r="AC130" s="320">
        <f t="shared" si="73"/>
        <v>1</v>
      </c>
      <c r="AD130" s="320">
        <f t="shared" si="74"/>
        <v>1</v>
      </c>
      <c r="AE130" s="320">
        <f t="shared" si="111"/>
        <v>1</v>
      </c>
      <c r="AF130" s="320">
        <f t="shared" si="75"/>
        <v>0</v>
      </c>
      <c r="AG130" s="320">
        <f t="shared" si="129"/>
        <v>1</v>
      </c>
      <c r="AH130" s="427">
        <v>1</v>
      </c>
      <c r="AI130" s="320">
        <f t="shared" si="76"/>
        <v>1</v>
      </c>
      <c r="AJ130" s="320">
        <f t="shared" si="77"/>
        <v>0</v>
      </c>
      <c r="AK130" s="320">
        <f t="shared" si="78"/>
        <v>0</v>
      </c>
      <c r="AL130" s="320">
        <f t="shared" si="79"/>
        <v>0</v>
      </c>
      <c r="AM130" s="320">
        <f t="shared" si="80"/>
        <v>0</v>
      </c>
      <c r="AN130" s="320">
        <f t="shared" si="81"/>
        <v>0</v>
      </c>
      <c r="AO130" s="427">
        <v>0</v>
      </c>
      <c r="AP130" s="320">
        <f t="shared" si="112"/>
        <v>0</v>
      </c>
      <c r="AQ130" s="320">
        <f t="shared" si="82"/>
        <v>0</v>
      </c>
      <c r="AR130" s="320">
        <f t="shared" si="83"/>
        <v>0</v>
      </c>
      <c r="AS130" s="320">
        <f t="shared" si="84"/>
        <v>0</v>
      </c>
      <c r="AT130" s="320">
        <f t="shared" si="85"/>
        <v>0</v>
      </c>
      <c r="AU130" s="320">
        <f t="shared" si="86"/>
        <v>0</v>
      </c>
      <c r="AV130" s="427">
        <v>1</v>
      </c>
      <c r="AW130" s="320">
        <f t="shared" si="87"/>
        <v>1</v>
      </c>
      <c r="AX130" s="320">
        <f t="shared" si="88"/>
        <v>0</v>
      </c>
      <c r="AY130" s="320">
        <f t="shared" si="89"/>
        <v>0</v>
      </c>
      <c r="AZ130" s="320">
        <f t="shared" si="90"/>
        <v>0</v>
      </c>
      <c r="BA130" s="17">
        <v>1</v>
      </c>
      <c r="BB130" s="17" t="s">
        <v>1269</v>
      </c>
      <c r="BC130" s="17">
        <v>1</v>
      </c>
      <c r="BD130" s="17">
        <v>1</v>
      </c>
      <c r="BE130" s="17">
        <v>1</v>
      </c>
      <c r="BF130" s="17">
        <v>1</v>
      </c>
      <c r="BG130" s="428">
        <f t="shared" si="131"/>
        <v>1</v>
      </c>
      <c r="BH130" s="17">
        <v>1</v>
      </c>
      <c r="BI130" s="17">
        <v>1</v>
      </c>
      <c r="BJ130" s="17" t="s">
        <v>1202</v>
      </c>
      <c r="BK130" s="17"/>
      <c r="BL130" s="17">
        <v>1</v>
      </c>
      <c r="BM130" s="17" t="s">
        <v>1203</v>
      </c>
      <c r="BN130" s="320">
        <f t="shared" si="132"/>
        <v>1</v>
      </c>
      <c r="BO130" s="320">
        <f t="shared" si="117"/>
        <v>0</v>
      </c>
      <c r="BP130" s="427">
        <v>0</v>
      </c>
      <c r="BQ130" s="427" t="s">
        <v>1204</v>
      </c>
      <c r="BR130" s="320">
        <f t="shared" si="126"/>
        <v>0</v>
      </c>
      <c r="BS130" s="320">
        <f>IF(ISNUMBER(SEARCH("t",$BP130)),1,0)</f>
        <v>0</v>
      </c>
      <c r="BT130" s="427">
        <v>1</v>
      </c>
      <c r="BU130" s="320">
        <f t="shared" si="92"/>
        <v>1</v>
      </c>
      <c r="BV130" s="320">
        <f t="shared" si="93"/>
        <v>0</v>
      </c>
      <c r="BW130" s="320">
        <f t="shared" si="114"/>
        <v>0</v>
      </c>
      <c r="BX130" s="427">
        <v>1.3</v>
      </c>
      <c r="BY130" s="320">
        <f t="shared" si="133"/>
        <v>1</v>
      </c>
      <c r="BZ130" s="320">
        <f t="shared" si="95"/>
        <v>0</v>
      </c>
      <c r="CA130" s="320">
        <f t="shared" si="127"/>
        <v>1</v>
      </c>
      <c r="CB130" s="320">
        <f t="shared" si="134"/>
        <v>0</v>
      </c>
      <c r="CC130" s="427">
        <v>0</v>
      </c>
      <c r="CD130" s="320">
        <f t="shared" si="98"/>
        <v>0</v>
      </c>
      <c r="CE130" s="320">
        <f t="shared" si="99"/>
        <v>0</v>
      </c>
      <c r="CF130" s="320">
        <f t="shared" si="100"/>
        <v>0</v>
      </c>
      <c r="CG130" s="320">
        <f t="shared" si="101"/>
        <v>0</v>
      </c>
      <c r="CH130" s="427">
        <v>1</v>
      </c>
      <c r="CI130" s="427">
        <v>0</v>
      </c>
      <c r="CJ130" s="427">
        <v>0</v>
      </c>
      <c r="CK130" s="427">
        <v>0</v>
      </c>
      <c r="CL130" s="320">
        <f t="shared" si="116"/>
        <v>0</v>
      </c>
      <c r="CM130" s="320">
        <f t="shared" si="102"/>
        <v>0</v>
      </c>
      <c r="CN130" s="320">
        <f t="shared" si="103"/>
        <v>0</v>
      </c>
      <c r="CO130" s="320">
        <f t="shared" si="104"/>
        <v>0</v>
      </c>
      <c r="CP130" s="427">
        <v>1</v>
      </c>
      <c r="CQ130" s="427" t="s">
        <v>317</v>
      </c>
      <c r="CR130" s="320">
        <f t="shared" si="105"/>
        <v>1</v>
      </c>
      <c r="CS130" s="320">
        <f t="shared" si="115"/>
        <v>0</v>
      </c>
      <c r="CT130" s="320">
        <f t="shared" si="120"/>
        <v>1</v>
      </c>
      <c r="CU130" s="320">
        <f t="shared" si="121"/>
        <v>0</v>
      </c>
      <c r="CV130" s="427">
        <v>0</v>
      </c>
      <c r="CW130" s="17">
        <v>4</v>
      </c>
      <c r="CX130" s="320">
        <f t="shared" si="122"/>
        <v>0</v>
      </c>
      <c r="CY130" s="320">
        <f t="shared" si="107"/>
        <v>0</v>
      </c>
      <c r="CZ130" s="320">
        <f t="shared" si="108"/>
        <v>0</v>
      </c>
      <c r="DA130" s="17">
        <v>1</v>
      </c>
      <c r="DB130" s="17">
        <v>0</v>
      </c>
      <c r="DC130" s="17">
        <v>1</v>
      </c>
      <c r="DD130" s="31"/>
      <c r="DE130" s="321" t="s">
        <v>387</v>
      </c>
      <c r="DF130" s="321"/>
      <c r="DG130" s="321"/>
      <c r="DH130" s="321" t="s">
        <v>424</v>
      </c>
      <c r="DI130" s="321"/>
      <c r="DJ130" s="321" t="s">
        <v>486</v>
      </c>
      <c r="DK130" s="321"/>
      <c r="DL130" s="321"/>
      <c r="DM130" s="321"/>
      <c r="DN130" s="321"/>
      <c r="DO130" s="321"/>
      <c r="DP130" s="322" t="s">
        <v>487</v>
      </c>
      <c r="DQ130" s="290"/>
      <c r="DR130" s="240">
        <f>SUM(DS130:DX130)/6</f>
        <v>0.40690418679549117</v>
      </c>
      <c r="DS130" s="429">
        <f t="shared" si="109"/>
        <v>0.2608695652173913</v>
      </c>
      <c r="DT130" s="429">
        <f>SUM(BA130:BE130,BG130)/5</f>
        <v>1</v>
      </c>
      <c r="DU130" s="429">
        <f>SUM(BI130,BO130,BS130,BU130:BW130)/6</f>
        <v>0.33333333333333331</v>
      </c>
      <c r="DV130" s="429">
        <f>SUM(BY130-CB130,CD130-CG130)/8</f>
        <v>0.125</v>
      </c>
      <c r="DW130" s="429">
        <f>SUM(CH130:CJ130,CL130:CO130,BN130,BR130)/9</f>
        <v>0.22222222222222221</v>
      </c>
      <c r="DX130" s="429">
        <f>SUM(CP130,CR130:CV130)/6</f>
        <v>0.5</v>
      </c>
      <c r="DY130" s="444"/>
      <c r="DZ130" s="137" t="s">
        <v>737</v>
      </c>
      <c r="EA130" s="135"/>
      <c r="EB130" s="137" t="s">
        <v>750</v>
      </c>
      <c r="EC130" s="137" t="s">
        <v>758</v>
      </c>
      <c r="ED130" s="124">
        <v>1</v>
      </c>
      <c r="EH130" s="44"/>
      <c r="EI130" s="45"/>
      <c r="EJ130" s="33" t="e">
        <f t="shared" si="110"/>
        <v>#VALUE!</v>
      </c>
      <c r="EK130" s="42"/>
      <c r="EL130" s="42"/>
      <c r="EM130" s="42"/>
      <c r="EN130" s="439"/>
      <c r="EO130" s="439"/>
      <c r="EP130" s="439"/>
      <c r="EQ130" s="38"/>
      <c r="ER130" s="440"/>
      <c r="ES130" s="431"/>
      <c r="ET130" s="431"/>
      <c r="EU130" s="431"/>
      <c r="EV130" s="447"/>
      <c r="EZ130" s="393" t="s">
        <v>150</v>
      </c>
      <c r="FA130" s="393" t="s">
        <v>150</v>
      </c>
      <c r="FB130" s="389">
        <v>4817</v>
      </c>
      <c r="FC130" s="389">
        <v>3900</v>
      </c>
      <c r="FD130" s="389">
        <v>3636</v>
      </c>
      <c r="FE130" s="389">
        <v>3636</v>
      </c>
      <c r="FF130" s="389">
        <v>3636</v>
      </c>
      <c r="FG130" s="390">
        <v>-1.3538461538461537E-2</v>
      </c>
      <c r="FH130" s="390">
        <v>0</v>
      </c>
      <c r="FI130" s="390">
        <v>0</v>
      </c>
      <c r="FJ130" s="391">
        <v>0</v>
      </c>
      <c r="FK130" s="391" t="s">
        <v>1386</v>
      </c>
      <c r="FL130" s="31" t="s">
        <v>1387</v>
      </c>
      <c r="FN130" s="127" t="s">
        <v>1637</v>
      </c>
      <c r="FO130" s="127" t="s">
        <v>1638</v>
      </c>
      <c r="FP130" s="127"/>
    </row>
    <row r="131" spans="1:172" ht="22" hidden="1" customHeight="1" x14ac:dyDescent="0.2">
      <c r="A131" s="13" t="s">
        <v>7</v>
      </c>
      <c r="B131" s="14" t="s">
        <v>27</v>
      </c>
      <c r="C131" s="14"/>
      <c r="D131" s="14"/>
      <c r="E131" s="128" t="s">
        <v>151</v>
      </c>
      <c r="F131" s="15"/>
      <c r="G131" s="15" t="s">
        <v>635</v>
      </c>
      <c r="H131" s="91">
        <f t="shared" si="135"/>
        <v>0</v>
      </c>
      <c r="I131" s="95">
        <f t="shared" si="123"/>
        <v>2</v>
      </c>
      <c r="J131" s="91"/>
      <c r="K131" s="256">
        <f t="shared" si="125"/>
        <v>2</v>
      </c>
      <c r="L131" s="101" t="s">
        <v>678</v>
      </c>
      <c r="M131" s="99">
        <v>1</v>
      </c>
      <c r="N131" s="89"/>
      <c r="O131" s="98" t="str">
        <f t="shared" si="136"/>
        <v>_x000D__x000D_</v>
      </c>
      <c r="P131" s="98"/>
      <c r="Q131" s="55"/>
      <c r="R131" s="64" t="s">
        <v>918</v>
      </c>
      <c r="S131" s="425"/>
      <c r="T131" s="300" t="s">
        <v>839</v>
      </c>
      <c r="U131" s="300" t="s">
        <v>834</v>
      </c>
      <c r="V131" s="300" t="s">
        <v>834</v>
      </c>
      <c r="W131" s="258"/>
      <c r="X131" s="307" t="s">
        <v>834</v>
      </c>
      <c r="Y131" s="274"/>
      <c r="Z131" s="426"/>
      <c r="AA131" s="320">
        <f t="shared" si="130"/>
        <v>0</v>
      </c>
      <c r="AB131" s="320">
        <f t="shared" si="72"/>
        <v>0</v>
      </c>
      <c r="AC131" s="320">
        <f t="shared" si="73"/>
        <v>0</v>
      </c>
      <c r="AD131" s="320">
        <f t="shared" si="74"/>
        <v>0</v>
      </c>
      <c r="AE131" s="320">
        <f t="shared" si="111"/>
        <v>0</v>
      </c>
      <c r="AF131" s="320">
        <f t="shared" si="75"/>
        <v>0</v>
      </c>
      <c r="AG131" s="320">
        <f t="shared" si="129"/>
        <v>0</v>
      </c>
      <c r="AH131" s="427"/>
      <c r="AI131" s="320">
        <f t="shared" si="76"/>
        <v>0</v>
      </c>
      <c r="AJ131" s="320">
        <f t="shared" si="77"/>
        <v>0</v>
      </c>
      <c r="AK131" s="320">
        <f t="shared" si="78"/>
        <v>0</v>
      </c>
      <c r="AL131" s="320">
        <f t="shared" si="79"/>
        <v>0</v>
      </c>
      <c r="AM131" s="320">
        <f t="shared" si="80"/>
        <v>0</v>
      </c>
      <c r="AN131" s="320">
        <f t="shared" si="81"/>
        <v>0</v>
      </c>
      <c r="AO131" s="427"/>
      <c r="AP131" s="320">
        <f t="shared" si="112"/>
        <v>0</v>
      </c>
      <c r="AQ131" s="320">
        <f t="shared" si="82"/>
        <v>0</v>
      </c>
      <c r="AR131" s="320">
        <f t="shared" si="83"/>
        <v>0</v>
      </c>
      <c r="AS131" s="320">
        <f t="shared" si="84"/>
        <v>0</v>
      </c>
      <c r="AT131" s="320">
        <f t="shared" si="85"/>
        <v>0</v>
      </c>
      <c r="AU131" s="320">
        <f t="shared" si="86"/>
        <v>0</v>
      </c>
      <c r="AV131" s="427"/>
      <c r="AW131" s="320">
        <f t="shared" si="87"/>
        <v>0</v>
      </c>
      <c r="AX131" s="320">
        <f t="shared" si="88"/>
        <v>0</v>
      </c>
      <c r="AY131" s="320">
        <f t="shared" si="89"/>
        <v>0</v>
      </c>
      <c r="AZ131" s="320">
        <f t="shared" si="90"/>
        <v>0</v>
      </c>
      <c r="BA131" s="17">
        <v>0</v>
      </c>
      <c r="BB131" s="17" t="s">
        <v>839</v>
      </c>
      <c r="BC131" s="17"/>
      <c r="BD131" s="17"/>
      <c r="BE131" s="17"/>
      <c r="BF131" s="17"/>
      <c r="BG131" s="428">
        <f t="shared" si="131"/>
        <v>0</v>
      </c>
      <c r="BH131" s="17"/>
      <c r="BI131" s="17"/>
      <c r="BJ131" s="17"/>
      <c r="BK131" s="17"/>
      <c r="BL131" s="17"/>
      <c r="BM131" s="17"/>
      <c r="BN131" s="320">
        <f t="shared" si="132"/>
        <v>0</v>
      </c>
      <c r="BO131" s="320">
        <f t="shared" si="117"/>
        <v>0</v>
      </c>
      <c r="BP131" s="427"/>
      <c r="BQ131" s="427"/>
      <c r="BR131" s="320">
        <f t="shared" si="126"/>
        <v>0</v>
      </c>
      <c r="BS131" s="320">
        <f>IF(ISNUMBER(SEARCH("1",$BP131)),1,0)</f>
        <v>0</v>
      </c>
      <c r="BT131" s="427"/>
      <c r="BU131" s="320">
        <f t="shared" si="92"/>
        <v>0</v>
      </c>
      <c r="BV131" s="320">
        <f t="shared" si="93"/>
        <v>0</v>
      </c>
      <c r="BW131" s="320">
        <f t="shared" si="114"/>
        <v>0</v>
      </c>
      <c r="BX131" s="427"/>
      <c r="BY131" s="320">
        <f t="shared" si="133"/>
        <v>0</v>
      </c>
      <c r="BZ131" s="320">
        <f t="shared" si="95"/>
        <v>0</v>
      </c>
      <c r="CA131" s="320">
        <f t="shared" si="127"/>
        <v>0</v>
      </c>
      <c r="CB131" s="320">
        <f t="shared" si="134"/>
        <v>0</v>
      </c>
      <c r="CC131" s="427"/>
      <c r="CD131" s="320">
        <f t="shared" si="98"/>
        <v>0</v>
      </c>
      <c r="CE131" s="320">
        <f t="shared" si="99"/>
        <v>0</v>
      </c>
      <c r="CF131" s="320">
        <f t="shared" si="100"/>
        <v>0</v>
      </c>
      <c r="CG131" s="320">
        <f t="shared" si="101"/>
        <v>0</v>
      </c>
      <c r="CH131" s="427"/>
      <c r="CI131" s="427"/>
      <c r="CJ131" s="427"/>
      <c r="CK131" s="427"/>
      <c r="CL131" s="320">
        <f t="shared" si="116"/>
        <v>0</v>
      </c>
      <c r="CM131" s="320">
        <f t="shared" si="102"/>
        <v>0</v>
      </c>
      <c r="CN131" s="320">
        <f t="shared" si="103"/>
        <v>0</v>
      </c>
      <c r="CO131" s="320">
        <f t="shared" si="104"/>
        <v>0</v>
      </c>
      <c r="CP131" s="427"/>
      <c r="CQ131" s="427"/>
      <c r="CR131" s="320">
        <f t="shared" si="105"/>
        <v>0</v>
      </c>
      <c r="CS131" s="320">
        <f t="shared" si="115"/>
        <v>0</v>
      </c>
      <c r="CT131" s="320">
        <f t="shared" si="120"/>
        <v>0</v>
      </c>
      <c r="CU131" s="320">
        <f t="shared" si="121"/>
        <v>0</v>
      </c>
      <c r="CV131" s="427"/>
      <c r="CW131" s="17"/>
      <c r="CX131" s="320">
        <f t="shared" si="122"/>
        <v>0</v>
      </c>
      <c r="CY131" s="320">
        <f t="shared" si="107"/>
        <v>0</v>
      </c>
      <c r="CZ131" s="320">
        <f t="shared" si="108"/>
        <v>0</v>
      </c>
      <c r="DA131" s="17"/>
      <c r="DB131" s="17"/>
      <c r="DC131" s="17"/>
      <c r="DD131" s="31"/>
      <c r="DE131" s="323"/>
      <c r="DF131" s="323"/>
      <c r="DG131" s="323"/>
      <c r="DH131" s="323"/>
      <c r="DI131" s="323"/>
      <c r="DJ131" s="323"/>
      <c r="DK131" s="323"/>
      <c r="DL131" s="323"/>
      <c r="DM131" s="323"/>
      <c r="DN131" s="323"/>
      <c r="DO131" s="323"/>
      <c r="DP131" s="324"/>
      <c r="DQ131" s="288"/>
      <c r="DR131" s="242"/>
      <c r="DS131" s="429">
        <f t="shared" si="109"/>
        <v>0</v>
      </c>
      <c r="DT131" s="429"/>
      <c r="DU131" s="429"/>
      <c r="DV131" s="429"/>
      <c r="DW131" s="429"/>
      <c r="DX131" s="429"/>
      <c r="DY131" s="429"/>
      <c r="DZ131" s="134"/>
      <c r="EA131" s="134"/>
      <c r="EB131" s="134"/>
      <c r="EC131" s="134"/>
      <c r="ED131" s="123"/>
      <c r="EH131" s="46"/>
      <c r="EI131" s="45"/>
      <c r="EJ131" s="33" t="e">
        <f t="shared" si="110"/>
        <v>#VALUE!</v>
      </c>
      <c r="EK131" s="42"/>
      <c r="EL131" s="42"/>
      <c r="EM131" s="42"/>
      <c r="EN131" s="439"/>
      <c r="EO131" s="439"/>
      <c r="EP131" s="439"/>
      <c r="EQ131" s="47"/>
      <c r="ER131" s="440">
        <v>1</v>
      </c>
      <c r="ES131" s="431"/>
      <c r="ET131" s="431"/>
      <c r="EU131" s="431"/>
      <c r="EV131" s="447"/>
      <c r="EZ131" s="393" t="s">
        <v>151</v>
      </c>
      <c r="FA131" s="393" t="s">
        <v>151</v>
      </c>
      <c r="FB131" s="389">
        <v>345</v>
      </c>
      <c r="FC131" s="389">
        <v>360</v>
      </c>
      <c r="FD131" s="389">
        <v>365</v>
      </c>
      <c r="FE131" s="389">
        <v>373</v>
      </c>
      <c r="FF131" s="389">
        <v>376</v>
      </c>
      <c r="FG131" s="390">
        <v>2.7777777777777775E-3</v>
      </c>
      <c r="FH131" s="390">
        <v>4.3835616438356161E-3</v>
      </c>
      <c r="FI131" s="390">
        <v>1.6085790884718498E-3</v>
      </c>
      <c r="FJ131" s="391" t="s">
        <v>1389</v>
      </c>
      <c r="FK131" s="391">
        <v>-0.63304289544235925</v>
      </c>
      <c r="FL131" s="31" t="s">
        <v>1394</v>
      </c>
      <c r="FN131" s="128" t="s">
        <v>1639</v>
      </c>
      <c r="FO131" s="128" t="s">
        <v>1640</v>
      </c>
      <c r="FP131" s="128"/>
    </row>
    <row r="132" spans="1:172" ht="22" hidden="1" customHeight="1" x14ac:dyDescent="0.2">
      <c r="A132" s="13" t="s">
        <v>24</v>
      </c>
      <c r="B132" s="14" t="s">
        <v>25</v>
      </c>
      <c r="C132" s="9" t="s">
        <v>1044</v>
      </c>
      <c r="D132" s="14"/>
      <c r="E132" s="128" t="s">
        <v>152</v>
      </c>
      <c r="F132" s="15"/>
      <c r="G132" s="15" t="s">
        <v>634</v>
      </c>
      <c r="H132" s="91">
        <f t="shared" si="135"/>
        <v>1</v>
      </c>
      <c r="I132" s="95">
        <f t="shared" si="123"/>
        <v>0</v>
      </c>
      <c r="J132" s="91"/>
      <c r="K132" s="256">
        <f t="shared" si="125"/>
        <v>1</v>
      </c>
      <c r="L132" s="101">
        <v>0</v>
      </c>
      <c r="M132" s="25"/>
      <c r="N132" s="89"/>
      <c r="O132" s="98" t="str">
        <f t="shared" si="136"/>
        <v>_x000D__x000D_</v>
      </c>
      <c r="P132" s="98" t="str">
        <f>CONCATENATE(V132,R132,X132)</f>
        <v>_x000D__x000D_</v>
      </c>
      <c r="Q132" s="55"/>
      <c r="R132" s="64" t="s">
        <v>918</v>
      </c>
      <c r="S132" s="425"/>
      <c r="T132" s="300" t="s">
        <v>834</v>
      </c>
      <c r="U132" s="300" t="s">
        <v>834</v>
      </c>
      <c r="V132" s="300" t="s">
        <v>834</v>
      </c>
      <c r="W132" s="258"/>
      <c r="X132" s="307" t="s">
        <v>834</v>
      </c>
      <c r="Y132" s="274"/>
      <c r="Z132" s="426"/>
      <c r="AA132" s="320">
        <f t="shared" si="130"/>
        <v>0</v>
      </c>
      <c r="AB132" s="320">
        <f t="shared" si="72"/>
        <v>0</v>
      </c>
      <c r="AC132" s="320">
        <f t="shared" si="73"/>
        <v>0</v>
      </c>
      <c r="AD132" s="320">
        <f t="shared" si="74"/>
        <v>0</v>
      </c>
      <c r="AE132" s="320">
        <f t="shared" si="111"/>
        <v>0</v>
      </c>
      <c r="AF132" s="320">
        <f t="shared" si="75"/>
        <v>0</v>
      </c>
      <c r="AG132" s="320">
        <f t="shared" si="129"/>
        <v>0</v>
      </c>
      <c r="AH132" s="427"/>
      <c r="AI132" s="320">
        <f t="shared" si="76"/>
        <v>0</v>
      </c>
      <c r="AJ132" s="320">
        <f t="shared" si="77"/>
        <v>0</v>
      </c>
      <c r="AK132" s="320">
        <f t="shared" si="78"/>
        <v>0</v>
      </c>
      <c r="AL132" s="320">
        <f t="shared" si="79"/>
        <v>0</v>
      </c>
      <c r="AM132" s="320">
        <f t="shared" si="80"/>
        <v>0</v>
      </c>
      <c r="AN132" s="320">
        <f t="shared" si="81"/>
        <v>0</v>
      </c>
      <c r="AO132" s="427"/>
      <c r="AP132" s="320">
        <f t="shared" si="112"/>
        <v>0</v>
      </c>
      <c r="AQ132" s="320">
        <f t="shared" si="82"/>
        <v>0</v>
      </c>
      <c r="AR132" s="320">
        <f t="shared" si="83"/>
        <v>0</v>
      </c>
      <c r="AS132" s="320">
        <f t="shared" si="84"/>
        <v>0</v>
      </c>
      <c r="AT132" s="320">
        <f t="shared" si="85"/>
        <v>0</v>
      </c>
      <c r="AU132" s="320">
        <f t="shared" si="86"/>
        <v>0</v>
      </c>
      <c r="AV132" s="427"/>
      <c r="AW132" s="320">
        <f t="shared" si="87"/>
        <v>0</v>
      </c>
      <c r="AX132" s="320">
        <f t="shared" si="88"/>
        <v>0</v>
      </c>
      <c r="AY132" s="320">
        <f t="shared" si="89"/>
        <v>0</v>
      </c>
      <c r="AZ132" s="320">
        <f t="shared" si="90"/>
        <v>0</v>
      </c>
      <c r="BA132" s="17"/>
      <c r="BB132" s="17" t="s">
        <v>834</v>
      </c>
      <c r="BC132" s="17"/>
      <c r="BD132" s="17"/>
      <c r="BE132" s="17"/>
      <c r="BF132" s="17"/>
      <c r="BG132" s="428">
        <f t="shared" si="131"/>
        <v>0</v>
      </c>
      <c r="BH132" s="17"/>
      <c r="BI132" s="17"/>
      <c r="BJ132" s="17"/>
      <c r="BK132" s="17"/>
      <c r="BL132" s="17"/>
      <c r="BM132" s="17"/>
      <c r="BN132" s="320">
        <f t="shared" si="132"/>
        <v>0</v>
      </c>
      <c r="BO132" s="320">
        <f t="shared" si="117"/>
        <v>0</v>
      </c>
      <c r="BP132" s="427"/>
      <c r="BQ132" s="427"/>
      <c r="BR132" s="320">
        <f t="shared" si="126"/>
        <v>0</v>
      </c>
      <c r="BS132" s="320">
        <f>IF(ISNUMBER(SEARCH("1",$BP132)),1,0)</f>
        <v>0</v>
      </c>
      <c r="BT132" s="427"/>
      <c r="BU132" s="320">
        <f t="shared" si="92"/>
        <v>0</v>
      </c>
      <c r="BV132" s="320">
        <f t="shared" si="93"/>
        <v>0</v>
      </c>
      <c r="BW132" s="320">
        <f t="shared" si="114"/>
        <v>0</v>
      </c>
      <c r="BX132" s="427"/>
      <c r="BY132" s="320">
        <f t="shared" si="133"/>
        <v>0</v>
      </c>
      <c r="BZ132" s="320">
        <f t="shared" si="95"/>
        <v>0</v>
      </c>
      <c r="CA132" s="320">
        <f t="shared" si="127"/>
        <v>0</v>
      </c>
      <c r="CB132" s="320">
        <f t="shared" si="134"/>
        <v>0</v>
      </c>
      <c r="CC132" s="427"/>
      <c r="CD132" s="320">
        <f t="shared" si="98"/>
        <v>0</v>
      </c>
      <c r="CE132" s="320">
        <f t="shared" si="99"/>
        <v>0</v>
      </c>
      <c r="CF132" s="320">
        <f t="shared" si="100"/>
        <v>0</v>
      </c>
      <c r="CG132" s="320">
        <f t="shared" si="101"/>
        <v>0</v>
      </c>
      <c r="CH132" s="427"/>
      <c r="CI132" s="427"/>
      <c r="CJ132" s="427"/>
      <c r="CK132" s="427"/>
      <c r="CL132" s="320">
        <f t="shared" si="116"/>
        <v>0</v>
      </c>
      <c r="CM132" s="320">
        <f t="shared" si="102"/>
        <v>0</v>
      </c>
      <c r="CN132" s="320">
        <f t="shared" si="103"/>
        <v>0</v>
      </c>
      <c r="CO132" s="320">
        <f t="shared" si="104"/>
        <v>0</v>
      </c>
      <c r="CP132" s="427"/>
      <c r="CQ132" s="427"/>
      <c r="CR132" s="320">
        <f t="shared" si="105"/>
        <v>0</v>
      </c>
      <c r="CS132" s="320">
        <f t="shared" si="115"/>
        <v>0</v>
      </c>
      <c r="CT132" s="320">
        <f t="shared" si="120"/>
        <v>0</v>
      </c>
      <c r="CU132" s="320">
        <f t="shared" si="121"/>
        <v>0</v>
      </c>
      <c r="CV132" s="427"/>
      <c r="CW132" s="17"/>
      <c r="CX132" s="320">
        <f t="shared" si="122"/>
        <v>0</v>
      </c>
      <c r="CY132" s="320">
        <f t="shared" si="107"/>
        <v>0</v>
      </c>
      <c r="CZ132" s="320">
        <f t="shared" si="108"/>
        <v>0</v>
      </c>
      <c r="DA132" s="17"/>
      <c r="DB132" s="17"/>
      <c r="DC132" s="17"/>
      <c r="DD132" s="31"/>
      <c r="DE132" s="321"/>
      <c r="DF132" s="321"/>
      <c r="DG132" s="321"/>
      <c r="DH132" s="321"/>
      <c r="DI132" s="321"/>
      <c r="DJ132" s="321"/>
      <c r="DK132" s="321"/>
      <c r="DL132" s="321"/>
      <c r="DM132" s="321"/>
      <c r="DN132" s="321"/>
      <c r="DO132" s="321"/>
      <c r="DP132" s="322"/>
      <c r="DQ132" s="288"/>
      <c r="DR132" s="241"/>
      <c r="DS132" s="429">
        <f t="shared" si="109"/>
        <v>0</v>
      </c>
      <c r="DT132" s="429"/>
      <c r="DU132" s="429"/>
      <c r="DV132" s="429"/>
      <c r="DW132" s="429"/>
      <c r="DX132" s="429"/>
      <c r="DY132" s="429"/>
      <c r="DZ132" s="134"/>
      <c r="EA132" s="134"/>
      <c r="EB132" s="134"/>
      <c r="EC132" s="134"/>
      <c r="ED132" s="123"/>
      <c r="EH132" s="46"/>
      <c r="EI132" s="45"/>
      <c r="EJ132" s="33" t="b">
        <f t="shared" si="110"/>
        <v>0</v>
      </c>
      <c r="EK132" s="42"/>
      <c r="EL132" s="42"/>
      <c r="EM132" s="42"/>
      <c r="EN132" s="439"/>
      <c r="EO132" s="439"/>
      <c r="EP132" s="439"/>
      <c r="EQ132" s="47"/>
      <c r="ER132" s="440"/>
      <c r="ES132" s="431"/>
      <c r="ET132" s="431"/>
      <c r="EU132" s="431"/>
      <c r="EV132" s="447"/>
      <c r="EZ132" s="393" t="s">
        <v>152</v>
      </c>
      <c r="FA132" s="393" t="s">
        <v>152</v>
      </c>
      <c r="FB132" s="389">
        <v>9658</v>
      </c>
      <c r="FC132" s="389">
        <v>10139</v>
      </c>
      <c r="FD132" s="389">
        <v>10183</v>
      </c>
      <c r="FE132" s="389">
        <v>10151</v>
      </c>
      <c r="FF132" s="389">
        <v>10152</v>
      </c>
      <c r="FG132" s="390">
        <v>8.6793569385540978E-4</v>
      </c>
      <c r="FH132" s="390">
        <v>-6.2849847785524898E-4</v>
      </c>
      <c r="FI132" s="390">
        <v>1.9702492365284207E-5</v>
      </c>
      <c r="FJ132" s="391">
        <v>-1.0313485124618265</v>
      </c>
      <c r="FK132" s="391" t="s">
        <v>1386</v>
      </c>
      <c r="FL132" s="31" t="s">
        <v>1393</v>
      </c>
      <c r="FN132" s="128" t="s">
        <v>1641</v>
      </c>
      <c r="FO132" s="128" t="s">
        <v>1642</v>
      </c>
      <c r="FP132" s="128"/>
    </row>
    <row r="133" spans="1:172" ht="22" hidden="1" customHeight="1" x14ac:dyDescent="0.2">
      <c r="A133" s="13" t="s">
        <v>16</v>
      </c>
      <c r="B133" s="19" t="s">
        <v>37</v>
      </c>
      <c r="C133" s="19"/>
      <c r="D133" s="19"/>
      <c r="E133" s="128" t="s">
        <v>153</v>
      </c>
      <c r="F133" s="15" t="s">
        <v>637</v>
      </c>
      <c r="G133" s="15" t="s">
        <v>634</v>
      </c>
      <c r="H133" s="91">
        <f t="shared" si="135"/>
        <v>1</v>
      </c>
      <c r="I133" s="95">
        <f t="shared" si="123"/>
        <v>2</v>
      </c>
      <c r="J133" s="91"/>
      <c r="K133" s="256">
        <f t="shared" si="125"/>
        <v>3</v>
      </c>
      <c r="L133" s="101" t="s">
        <v>640</v>
      </c>
      <c r="M133" s="99"/>
      <c r="N133" s="487">
        <v>2800000</v>
      </c>
      <c r="O133" s="98" t="str">
        <f t="shared" si="136"/>
        <v>_x000D__x000D_</v>
      </c>
      <c r="P133" s="144" t="str">
        <f>CONCATENATE(V133,R133,X133)</f>
        <v>N/A_x000D__x000D_</v>
      </c>
      <c r="Q133" s="55"/>
      <c r="R133" s="64" t="s">
        <v>918</v>
      </c>
      <c r="S133" s="425"/>
      <c r="T133" s="300" t="s">
        <v>943</v>
      </c>
      <c r="U133" s="300" t="s">
        <v>894</v>
      </c>
      <c r="V133" s="300" t="s">
        <v>388</v>
      </c>
      <c r="W133" s="258"/>
      <c r="X133" s="307"/>
      <c r="Y133" s="274"/>
      <c r="Z133" s="426" t="s">
        <v>229</v>
      </c>
      <c r="AA133" s="320">
        <f t="shared" si="130"/>
        <v>0</v>
      </c>
      <c r="AB133" s="320">
        <f t="shared" si="72"/>
        <v>0</v>
      </c>
      <c r="AC133" s="320">
        <f t="shared" si="73"/>
        <v>0</v>
      </c>
      <c r="AD133" s="320">
        <f t="shared" si="74"/>
        <v>0</v>
      </c>
      <c r="AE133" s="320">
        <f t="shared" si="111"/>
        <v>0</v>
      </c>
      <c r="AF133" s="320">
        <f t="shared" si="75"/>
        <v>0</v>
      </c>
      <c r="AG133" s="320">
        <f t="shared" si="129"/>
        <v>1</v>
      </c>
      <c r="AH133" s="427">
        <v>0</v>
      </c>
      <c r="AI133" s="320">
        <f t="shared" si="76"/>
        <v>0</v>
      </c>
      <c r="AJ133" s="320">
        <f t="shared" si="77"/>
        <v>0</v>
      </c>
      <c r="AK133" s="320">
        <f t="shared" si="78"/>
        <v>0</v>
      </c>
      <c r="AL133" s="320">
        <f t="shared" si="79"/>
        <v>0</v>
      </c>
      <c r="AM133" s="320">
        <f t="shared" si="80"/>
        <v>0</v>
      </c>
      <c r="AN133" s="320">
        <f t="shared" si="81"/>
        <v>0</v>
      </c>
      <c r="AO133" s="427">
        <v>0</v>
      </c>
      <c r="AP133" s="320">
        <f t="shared" si="112"/>
        <v>0</v>
      </c>
      <c r="AQ133" s="320">
        <f t="shared" si="82"/>
        <v>0</v>
      </c>
      <c r="AR133" s="320">
        <f t="shared" si="83"/>
        <v>0</v>
      </c>
      <c r="AS133" s="320">
        <f t="shared" si="84"/>
        <v>0</v>
      </c>
      <c r="AT133" s="320">
        <f t="shared" si="85"/>
        <v>0</v>
      </c>
      <c r="AU133" s="320">
        <f t="shared" si="86"/>
        <v>0</v>
      </c>
      <c r="AV133" s="427">
        <v>0</v>
      </c>
      <c r="AW133" s="320">
        <f t="shared" si="87"/>
        <v>0</v>
      </c>
      <c r="AX133" s="320">
        <f t="shared" si="88"/>
        <v>0</v>
      </c>
      <c r="AY133" s="320">
        <f t="shared" si="89"/>
        <v>0</v>
      </c>
      <c r="AZ133" s="320">
        <f t="shared" si="90"/>
        <v>0</v>
      </c>
      <c r="BA133" s="17">
        <v>1</v>
      </c>
      <c r="BB133" s="17" t="s">
        <v>1292</v>
      </c>
      <c r="BC133" s="17">
        <v>0</v>
      </c>
      <c r="BD133" s="17">
        <v>0</v>
      </c>
      <c r="BE133" s="17">
        <v>0</v>
      </c>
      <c r="BF133" s="17">
        <v>1</v>
      </c>
      <c r="BG133" s="428">
        <f t="shared" si="131"/>
        <v>1</v>
      </c>
      <c r="BH133" s="17"/>
      <c r="BI133" s="17">
        <v>1</v>
      </c>
      <c r="BJ133" s="17" t="s">
        <v>894</v>
      </c>
      <c r="BK133" s="17"/>
      <c r="BL133" s="17">
        <v>0</v>
      </c>
      <c r="BM133" s="17" t="s">
        <v>834</v>
      </c>
      <c r="BN133" s="320">
        <f t="shared" si="132"/>
        <v>0</v>
      </c>
      <c r="BO133" s="320">
        <f t="shared" si="117"/>
        <v>0</v>
      </c>
      <c r="BP133" s="427">
        <v>0</v>
      </c>
      <c r="BQ133" s="427" t="s">
        <v>834</v>
      </c>
      <c r="BR133" s="320">
        <f t="shared" si="126"/>
        <v>0</v>
      </c>
      <c r="BS133" s="320">
        <f>IF(ISNUMBER(SEARCH("1",$BP133)),1,0)</f>
        <v>0</v>
      </c>
      <c r="BT133" s="427">
        <v>0</v>
      </c>
      <c r="BU133" s="320">
        <f t="shared" si="92"/>
        <v>0</v>
      </c>
      <c r="BV133" s="320">
        <f t="shared" si="93"/>
        <v>0</v>
      </c>
      <c r="BW133" s="320">
        <f t="shared" si="114"/>
        <v>0</v>
      </c>
      <c r="BX133" s="427" t="s">
        <v>243</v>
      </c>
      <c r="BY133" s="320">
        <f t="shared" si="133"/>
        <v>1</v>
      </c>
      <c r="BZ133" s="320">
        <f t="shared" si="95"/>
        <v>0</v>
      </c>
      <c r="CA133" s="320">
        <f t="shared" si="127"/>
        <v>1</v>
      </c>
      <c r="CB133" s="320">
        <f t="shared" si="134"/>
        <v>0</v>
      </c>
      <c r="CC133" s="427" t="s">
        <v>260</v>
      </c>
      <c r="CD133" s="320">
        <f t="shared" si="98"/>
        <v>1</v>
      </c>
      <c r="CE133" s="320">
        <f t="shared" si="99"/>
        <v>1</v>
      </c>
      <c r="CF133" s="320">
        <f t="shared" si="100"/>
        <v>0</v>
      </c>
      <c r="CG133" s="320">
        <f t="shared" si="101"/>
        <v>0</v>
      </c>
      <c r="CH133" s="427">
        <v>0</v>
      </c>
      <c r="CI133" s="427">
        <v>0</v>
      </c>
      <c r="CJ133" s="427">
        <v>0</v>
      </c>
      <c r="CK133" s="427">
        <v>0</v>
      </c>
      <c r="CL133" s="320">
        <f t="shared" si="116"/>
        <v>0</v>
      </c>
      <c r="CM133" s="320">
        <f t="shared" si="102"/>
        <v>0</v>
      </c>
      <c r="CN133" s="320">
        <f t="shared" si="103"/>
        <v>0</v>
      </c>
      <c r="CO133" s="320">
        <f t="shared" si="104"/>
        <v>0</v>
      </c>
      <c r="CP133" s="427">
        <v>0</v>
      </c>
      <c r="CQ133" s="427" t="s">
        <v>260</v>
      </c>
      <c r="CR133" s="320">
        <f t="shared" si="105"/>
        <v>1</v>
      </c>
      <c r="CS133" s="320">
        <f t="shared" si="115"/>
        <v>0</v>
      </c>
      <c r="CT133" s="320">
        <f t="shared" si="120"/>
        <v>1</v>
      </c>
      <c r="CU133" s="320">
        <f t="shared" si="121"/>
        <v>0</v>
      </c>
      <c r="CV133" s="427">
        <v>1</v>
      </c>
      <c r="CW133" s="17">
        <v>0</v>
      </c>
      <c r="CX133" s="320">
        <f t="shared" si="122"/>
        <v>0</v>
      </c>
      <c r="CY133" s="320">
        <f t="shared" si="107"/>
        <v>0</v>
      </c>
      <c r="CZ133" s="320">
        <f t="shared" si="108"/>
        <v>0</v>
      </c>
      <c r="DA133" s="17">
        <v>0</v>
      </c>
      <c r="DB133" s="17">
        <v>0</v>
      </c>
      <c r="DC133" s="17">
        <v>0</v>
      </c>
      <c r="DD133" s="31"/>
      <c r="DE133" s="338"/>
      <c r="DF133" s="338"/>
      <c r="DG133" s="338"/>
      <c r="DH133" s="338"/>
      <c r="DI133" s="338"/>
      <c r="DJ133" s="338"/>
      <c r="DK133" s="338"/>
      <c r="DL133" s="338"/>
      <c r="DM133" s="338"/>
      <c r="DN133" s="338"/>
      <c r="DO133" s="338"/>
      <c r="DP133" s="339"/>
      <c r="DQ133" s="293"/>
      <c r="DR133" s="239">
        <f>SUM(DS133:DX133)/6</f>
        <v>0.22669082125603865</v>
      </c>
      <c r="DS133" s="429">
        <f t="shared" si="109"/>
        <v>4.3478260869565216E-2</v>
      </c>
      <c r="DT133" s="429">
        <f>SUM(BA133:BE133,BG133)/5</f>
        <v>0.4</v>
      </c>
      <c r="DU133" s="429">
        <f>SUM(BI133,BO133,BS133,BU133:BW133)/6</f>
        <v>0.16666666666666666</v>
      </c>
      <c r="DV133" s="429">
        <f>SUM(BY133-CB133,CD133-CG133)/8</f>
        <v>0.25</v>
      </c>
      <c r="DW133" s="429">
        <f>SUM(CH133:CJ133,CL133:CO133,BN133,BR133)/9</f>
        <v>0</v>
      </c>
      <c r="DX133" s="429">
        <f>SUM(CP133,CR133:CV133)/6</f>
        <v>0.5</v>
      </c>
      <c r="DY133" s="429"/>
      <c r="DZ133" s="140" t="s">
        <v>706</v>
      </c>
      <c r="EA133" s="140" t="s">
        <v>707</v>
      </c>
      <c r="EB133" s="139" t="s">
        <v>797</v>
      </c>
      <c r="EC133" s="139" t="s">
        <v>775</v>
      </c>
      <c r="ED133" s="123">
        <v>2</v>
      </c>
      <c r="EH133" s="170">
        <v>0</v>
      </c>
      <c r="EI133" s="164"/>
      <c r="EJ133" s="165" t="e">
        <f t="shared" si="110"/>
        <v>#VALUE!</v>
      </c>
      <c r="EK133" s="173"/>
      <c r="EL133" s="173"/>
      <c r="EM133" s="173"/>
      <c r="EN133" s="468"/>
      <c r="EO133" s="468"/>
      <c r="EP133" s="468"/>
      <c r="EQ133" s="172"/>
      <c r="ER133" s="471">
        <v>0</v>
      </c>
      <c r="ES133" s="472"/>
      <c r="ET133" s="472"/>
      <c r="EU133" s="472"/>
      <c r="EV133" s="473"/>
      <c r="EZ133" s="393" t="s">
        <v>153</v>
      </c>
      <c r="FA133" s="393" t="s">
        <v>153</v>
      </c>
      <c r="FB133" s="389">
        <v>4514</v>
      </c>
      <c r="FC133" s="389">
        <v>3814</v>
      </c>
      <c r="FD133" s="389">
        <v>3464</v>
      </c>
      <c r="FE133" s="389">
        <v>3114</v>
      </c>
      <c r="FF133" s="389">
        <v>3114</v>
      </c>
      <c r="FG133" s="390">
        <v>-1.8353434714210803E-2</v>
      </c>
      <c r="FH133" s="390">
        <v>-2.0207852193995381E-2</v>
      </c>
      <c r="FI133" s="390">
        <v>0</v>
      </c>
      <c r="FJ133" s="391">
        <v>-1</v>
      </c>
      <c r="FK133" s="391" t="s">
        <v>1386</v>
      </c>
      <c r="FL133" s="31" t="s">
        <v>1392</v>
      </c>
      <c r="FN133" s="128" t="s">
        <v>839</v>
      </c>
      <c r="FO133" s="128" t="s">
        <v>1643</v>
      </c>
      <c r="FP133" s="128"/>
    </row>
    <row r="134" spans="1:172" ht="22" hidden="1" customHeight="1" x14ac:dyDescent="0.2">
      <c r="A134" s="13" t="s">
        <v>10</v>
      </c>
      <c r="B134" s="14" t="s">
        <v>39</v>
      </c>
      <c r="C134" s="14"/>
      <c r="D134" s="14" t="s">
        <v>1068</v>
      </c>
      <c r="E134" s="128" t="s">
        <v>154</v>
      </c>
      <c r="F134" s="15" t="s">
        <v>639</v>
      </c>
      <c r="G134" s="15" t="s">
        <v>635</v>
      </c>
      <c r="H134" s="91">
        <v>0</v>
      </c>
      <c r="I134" s="95">
        <f t="shared" si="123"/>
        <v>2</v>
      </c>
      <c r="J134" s="91"/>
      <c r="K134" s="256">
        <f t="shared" ref="K134:K197" si="137">SUM(H134:J134)</f>
        <v>2</v>
      </c>
      <c r="L134" s="101" t="s">
        <v>656</v>
      </c>
      <c r="M134" s="99"/>
      <c r="N134" s="26">
        <v>3200000</v>
      </c>
      <c r="O134" s="98" t="str">
        <f t="shared" si="136"/>
        <v>Application of all Strategic Framework for Sustainable Land Management (SF-SLM) techniques:_x000D_- Restoration of agricultural/forestry/pastoral lands: 1,030 000 ha._x000D_- Assisted natural regeneration: 1,100,000 ha._x000D_- Fixation of dunes : 550,000 ha._x000D_- Management of natural forests: 2,220,000 ha._x000D_- Hedgerows: 145,000 km._x000D_- Planting of multiuse species: 750,000 ha._x000D_- Planting of Moringa oleifera : 125 000 ha._x000D_- Seeding of roadways: 304,500 ha._x000D_- Private forestry: 75,000 ha._x000D__x000D_</v>
      </c>
      <c r="P134" s="144" t="str">
        <f>CONCATENATE(V134,R134,X134)</f>
        <v xml:space="preserve">_x000D_AFOLU (Agriculture, Forestry and Other Land Uses) :_x000D_The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productivity._x000D__x000D_ </v>
      </c>
      <c r="Q134" s="223" t="s">
        <v>987</v>
      </c>
      <c r="R134" s="64" t="s">
        <v>918</v>
      </c>
      <c r="S134" s="425"/>
      <c r="T134" s="300" t="s">
        <v>925</v>
      </c>
      <c r="U134" s="300" t="s">
        <v>925</v>
      </c>
      <c r="V134" s="300" t="s">
        <v>914</v>
      </c>
      <c r="W134" s="258">
        <v>1</v>
      </c>
      <c r="X134" s="307" t="s">
        <v>924</v>
      </c>
      <c r="Y134" s="297"/>
      <c r="Z134" s="426" t="s">
        <v>315</v>
      </c>
      <c r="AA134" s="320">
        <f t="shared" si="130"/>
        <v>1</v>
      </c>
      <c r="AB134" s="320">
        <f t="shared" ref="AB134:AB146" si="138">IF(ISNUMBER(SEARCH("1s",$Z134)),1,0)</f>
        <v>0</v>
      </c>
      <c r="AC134" s="320">
        <f t="shared" ref="AC134:AC146" si="139">IF(ISNUMBER(SEARCH("2",$Z134)),1,0)</f>
        <v>0</v>
      </c>
      <c r="AD134" s="320">
        <f t="shared" ref="AD134:AD146" si="140">IF(ISNUMBER(SEARCH("2s",$Z134)),1,0)</f>
        <v>0</v>
      </c>
      <c r="AE134" s="320">
        <f t="shared" si="111"/>
        <v>1</v>
      </c>
      <c r="AF134" s="320">
        <f t="shared" ref="AF134:AF146" si="141">IF(ISNUMBER(SEARCH("3s",$Z134)),1,0)</f>
        <v>0</v>
      </c>
      <c r="AG134" s="320">
        <f t="shared" si="129"/>
        <v>0</v>
      </c>
      <c r="AH134" s="427">
        <v>0</v>
      </c>
      <c r="AI134" s="320">
        <f t="shared" ref="AI134:AI146" si="142">IF(ISNUMBER(SEARCH("1",$AH134)),1,0)</f>
        <v>0</v>
      </c>
      <c r="AJ134" s="320">
        <f t="shared" ref="AJ134:AJ146" si="143">IF(ISNUMBER(SEARCH("1s",$AH134)),1,0)</f>
        <v>0</v>
      </c>
      <c r="AK134" s="320">
        <f t="shared" ref="AK134:AK146" si="144">IF(ISNUMBER(SEARCH("2",$AH134)),1,0)</f>
        <v>0</v>
      </c>
      <c r="AL134" s="320">
        <f t="shared" ref="AL134:AL146" si="145">IF(ISNUMBER(SEARCH("2s",$AH134)),1,0)</f>
        <v>0</v>
      </c>
      <c r="AM134" s="320">
        <f t="shared" ref="AM134:AM146" si="146">IF(ISNUMBER(SEARCH("3",$AH134)),1,0)</f>
        <v>0</v>
      </c>
      <c r="AN134" s="320">
        <f t="shared" ref="AN134:AN146" si="147">IF(ISNUMBER(SEARCH("3s",$AH134)),1,0)</f>
        <v>0</v>
      </c>
      <c r="AO134" s="427">
        <v>0</v>
      </c>
      <c r="AP134" s="320">
        <f t="shared" si="112"/>
        <v>0</v>
      </c>
      <c r="AQ134" s="320">
        <f t="shared" ref="AQ134:AQ197" si="148">IF(ISNUMBER(SEARCH("1s",$AO134)),1,0)</f>
        <v>0</v>
      </c>
      <c r="AR134" s="320">
        <f t="shared" ref="AR134:AR197" si="149">IF(ISNUMBER(SEARCH("2",$AO134)),1,0)</f>
        <v>0</v>
      </c>
      <c r="AS134" s="320">
        <f t="shared" ref="AS134:AS197" si="150">IF(ISNUMBER(SEARCH("2s",$AO134)),1,0)</f>
        <v>0</v>
      </c>
      <c r="AT134" s="320">
        <f t="shared" ref="AT134:AT197" si="151">IF(ISNUMBER(SEARCH("3",$AO134)),1,0)</f>
        <v>0</v>
      </c>
      <c r="AU134" s="320">
        <f t="shared" ref="AU134:AU197" si="152">IF(ISNUMBER(SEARCH("3s",$AO134)),1,0)</f>
        <v>0</v>
      </c>
      <c r="AV134" s="427">
        <v>0</v>
      </c>
      <c r="AW134" s="320">
        <f t="shared" ref="AW134:AW197" si="153">IF(ISNUMBER(SEARCH("1",$AV134)),1,0)</f>
        <v>0</v>
      </c>
      <c r="AX134" s="320">
        <f t="shared" ref="AX134:AX197" si="154">IF(ISNUMBER(SEARCH("2",$AV134)),1,0)</f>
        <v>0</v>
      </c>
      <c r="AY134" s="320">
        <f t="shared" ref="AY134:AY197" si="155">IF(ISNUMBER(SEARCH("3",$AV134)),1,0)</f>
        <v>0</v>
      </c>
      <c r="AZ134" s="320">
        <f t="shared" ref="AZ134:AZ197" si="156">IF(ISNUMBER(SEARCH("4",$AV134)),1,0)</f>
        <v>0</v>
      </c>
      <c r="BA134" s="17">
        <v>0</v>
      </c>
      <c r="BB134" s="17" t="s">
        <v>834</v>
      </c>
      <c r="BC134" s="17">
        <v>0</v>
      </c>
      <c r="BD134" s="17">
        <v>0</v>
      </c>
      <c r="BE134" s="17">
        <v>0</v>
      </c>
      <c r="BF134" s="17">
        <v>0</v>
      </c>
      <c r="BG134" s="428">
        <f t="shared" si="131"/>
        <v>0</v>
      </c>
      <c r="BH134" s="17">
        <v>0</v>
      </c>
      <c r="BI134" s="17">
        <v>0</v>
      </c>
      <c r="BJ134" s="17" t="s">
        <v>834</v>
      </c>
      <c r="BK134" s="17"/>
      <c r="BL134" s="17">
        <v>1</v>
      </c>
      <c r="BM134" s="17" t="s">
        <v>1177</v>
      </c>
      <c r="BN134" s="320">
        <f t="shared" si="132"/>
        <v>1</v>
      </c>
      <c r="BO134" s="320">
        <f t="shared" si="117"/>
        <v>0</v>
      </c>
      <c r="BP134" s="427">
        <v>1</v>
      </c>
      <c r="BQ134" s="427" t="s">
        <v>1178</v>
      </c>
      <c r="BR134" s="320">
        <f t="shared" si="126"/>
        <v>1</v>
      </c>
      <c r="BS134" s="320">
        <v>0</v>
      </c>
      <c r="BT134" s="427">
        <v>1</v>
      </c>
      <c r="BU134" s="320">
        <f t="shared" ref="BU134:BU146" si="157">IF(ISNUMBER(SEARCH("1",$BT134)),1,0)</f>
        <v>1</v>
      </c>
      <c r="BV134" s="320">
        <f t="shared" ref="BV134:BV197" si="158">IF(ISNUMBER(SEARCH("2",$BT134)),1,0)</f>
        <v>0</v>
      </c>
      <c r="BW134" s="320">
        <f t="shared" si="114"/>
        <v>0</v>
      </c>
      <c r="BX134" s="427">
        <v>1</v>
      </c>
      <c r="BY134" s="320">
        <f t="shared" si="133"/>
        <v>1</v>
      </c>
      <c r="BZ134" s="320">
        <f t="shared" ref="BZ134:BZ197" si="159">IF(ISNUMBER(SEARCH("2",$BX134)),1,0)</f>
        <v>0</v>
      </c>
      <c r="CA134" s="320">
        <f t="shared" si="127"/>
        <v>0</v>
      </c>
      <c r="CB134" s="320">
        <f t="shared" si="134"/>
        <v>0</v>
      </c>
      <c r="CC134" s="427">
        <v>1</v>
      </c>
      <c r="CD134" s="320">
        <f t="shared" ref="CD134:CD197" si="160">IF(ISNUMBER(SEARCH("1",$CC134)),1,0)</f>
        <v>1</v>
      </c>
      <c r="CE134" s="320">
        <f t="shared" ref="CE134:CE197" si="161">IF(ISNUMBER(SEARCH("2",$CC134)),1,0)</f>
        <v>0</v>
      </c>
      <c r="CF134" s="320">
        <f t="shared" ref="CF134:CF197" si="162">IF(ISNUMBER(SEARCH("3",$CC134)),1,0)</f>
        <v>0</v>
      </c>
      <c r="CG134" s="320">
        <f t="shared" ref="CG134:CG197" si="163">IF(ISNUMBER(SEARCH("s",$CC134)),1,0)</f>
        <v>0</v>
      </c>
      <c r="CH134" s="427">
        <v>0</v>
      </c>
      <c r="CI134" s="427">
        <v>0</v>
      </c>
      <c r="CJ134" s="427">
        <v>0</v>
      </c>
      <c r="CK134" s="427">
        <v>0</v>
      </c>
      <c r="CL134" s="320">
        <f t="shared" si="116"/>
        <v>0</v>
      </c>
      <c r="CM134" s="320">
        <f t="shared" ref="CM134:CM197" si="164">IF(ISNUMBER(SEARCH("2",$CK134)),1,0)</f>
        <v>0</v>
      </c>
      <c r="CN134" s="320">
        <f t="shared" ref="CN134:CN197" si="165">IF(ISNUMBER(SEARCH("3",$CK134)),1,0)</f>
        <v>0</v>
      </c>
      <c r="CO134" s="320">
        <f t="shared" ref="CO134:CO161" si="166">IF(ISNUMBER(SEARCH("s",$CK134)),1,0)</f>
        <v>0</v>
      </c>
      <c r="CP134" s="427">
        <v>1</v>
      </c>
      <c r="CQ134" s="427" t="s">
        <v>317</v>
      </c>
      <c r="CR134" s="320">
        <f t="shared" ref="CR134:CR197" si="167">IF(ISNUMBER(SEARCH("1",$CQ134)),1,0)</f>
        <v>1</v>
      </c>
      <c r="CS134" s="320">
        <f t="shared" si="115"/>
        <v>0</v>
      </c>
      <c r="CT134" s="320">
        <f t="shared" si="120"/>
        <v>1</v>
      </c>
      <c r="CU134" s="320">
        <f t="shared" si="121"/>
        <v>0</v>
      </c>
      <c r="CV134" s="427">
        <v>1</v>
      </c>
      <c r="CW134" s="17">
        <v>4</v>
      </c>
      <c r="CX134" s="320">
        <f t="shared" si="122"/>
        <v>0</v>
      </c>
      <c r="CY134" s="320">
        <f t="shared" ref="CY134:CY197" si="168">IF(ISNUMBER(SEARCH("2",$CW134)),1,0)</f>
        <v>0</v>
      </c>
      <c r="CZ134" s="320">
        <f t="shared" ref="CZ134:CZ197" si="169">IF(ISNUMBER(SEARCH("3",$CW134)),1,0)</f>
        <v>0</v>
      </c>
      <c r="DA134" s="17"/>
      <c r="DB134" s="17"/>
      <c r="DC134" s="17"/>
      <c r="DD134" s="31"/>
      <c r="DE134" s="321" t="s">
        <v>387</v>
      </c>
      <c r="DF134" s="321" t="s">
        <v>387</v>
      </c>
      <c r="DG134" s="321" t="s">
        <v>821</v>
      </c>
      <c r="DH134" s="321" t="s">
        <v>387</v>
      </c>
      <c r="DI134" s="321"/>
      <c r="DJ134" s="321" t="s">
        <v>387</v>
      </c>
      <c r="DK134" s="321">
        <v>1</v>
      </c>
      <c r="DL134" s="321">
        <v>1</v>
      </c>
      <c r="DM134" s="321">
        <v>1</v>
      </c>
      <c r="DN134" s="321">
        <v>1</v>
      </c>
      <c r="DO134" s="321" t="s">
        <v>821</v>
      </c>
      <c r="DP134" s="322">
        <v>1</v>
      </c>
      <c r="DQ134" s="291"/>
      <c r="DR134" s="239">
        <f>SUM(DS134:DX134)/6</f>
        <v>0.232085346215781</v>
      </c>
      <c r="DS134" s="429">
        <f t="shared" ref="DS134:DS197" si="170">SUM(AA134:AG134,AI134:AN134,AP134:AU134,AW134:AZ134)/23</f>
        <v>8.6956521739130432E-2</v>
      </c>
      <c r="DT134" s="448">
        <f>SUM(BA134:BE134,BG134)/5</f>
        <v>0</v>
      </c>
      <c r="DU134" s="429">
        <f>SUM(BI134,BO134,BS134,BU134:BW134)/6</f>
        <v>0.16666666666666666</v>
      </c>
      <c r="DV134" s="429">
        <f>SUM(BY134-CB134,CD134-CG134)/8</f>
        <v>0.25</v>
      </c>
      <c r="DW134" s="429">
        <f>SUM(CH134:CJ134,CL134:CO134,BN134,BR134)/9</f>
        <v>0.22222222222222221</v>
      </c>
      <c r="DX134" s="429">
        <f>SUM(CP134,CR134:CV134)/6</f>
        <v>0.66666666666666663</v>
      </c>
      <c r="DY134" s="444"/>
      <c r="DZ134" s="134"/>
      <c r="EA134" s="135"/>
      <c r="EB134" s="135"/>
      <c r="EC134" s="135"/>
      <c r="ED134" s="124"/>
      <c r="EH134" s="46"/>
      <c r="EI134" s="45"/>
      <c r="EJ134" s="33" t="e">
        <f t="shared" ref="EJ134:EJ197" si="171">IF((EI134*L134)&gt;0, L134/EI134)</f>
        <v>#VALUE!</v>
      </c>
      <c r="EK134" s="42"/>
      <c r="EL134" s="42"/>
      <c r="EM134" s="42"/>
      <c r="EN134" s="439"/>
      <c r="EO134" s="439"/>
      <c r="EP134" s="439"/>
      <c r="EQ134" s="47"/>
      <c r="ER134" s="440"/>
      <c r="ES134" s="431"/>
      <c r="ET134" s="431"/>
      <c r="EU134" s="431"/>
      <c r="EV134" s="447"/>
      <c r="EZ134" s="393" t="s">
        <v>154</v>
      </c>
      <c r="FA134" s="393" t="s">
        <v>154</v>
      </c>
      <c r="FB134" s="389">
        <v>1945</v>
      </c>
      <c r="FC134" s="389">
        <v>1328</v>
      </c>
      <c r="FD134" s="389">
        <v>1266</v>
      </c>
      <c r="FE134" s="389">
        <v>1204</v>
      </c>
      <c r="FF134" s="389">
        <v>1142</v>
      </c>
      <c r="FG134" s="390">
        <v>-9.3373493975903617E-3</v>
      </c>
      <c r="FH134" s="390">
        <v>-9.7946287519747235E-3</v>
      </c>
      <c r="FI134" s="390">
        <v>-1.0299003322259135E-2</v>
      </c>
      <c r="FJ134" s="391">
        <v>5.1495016611295595E-2</v>
      </c>
      <c r="FK134" s="391" t="s">
        <v>1386</v>
      </c>
      <c r="FL134" s="31" t="s">
        <v>1379</v>
      </c>
      <c r="FN134" s="128" t="s">
        <v>1644</v>
      </c>
      <c r="FO134" s="128" t="s">
        <v>1645</v>
      </c>
      <c r="FP134" s="128"/>
    </row>
    <row r="135" spans="1:172" ht="22" hidden="1" customHeight="1" x14ac:dyDescent="0.2">
      <c r="A135" s="13" t="s">
        <v>10</v>
      </c>
      <c r="B135" s="14" t="s">
        <v>39</v>
      </c>
      <c r="C135" s="14"/>
      <c r="D135" s="14" t="s">
        <v>1068</v>
      </c>
      <c r="E135" s="128" t="s">
        <v>155</v>
      </c>
      <c r="F135" s="15" t="s">
        <v>639</v>
      </c>
      <c r="G135" s="15" t="s">
        <v>635</v>
      </c>
      <c r="H135" s="91">
        <v>0</v>
      </c>
      <c r="I135" s="95">
        <f t="shared" si="123"/>
        <v>0</v>
      </c>
      <c r="J135" s="91"/>
      <c r="K135" s="256">
        <f t="shared" si="137"/>
        <v>0</v>
      </c>
      <c r="L135" s="101">
        <v>0</v>
      </c>
      <c r="M135" s="99"/>
      <c r="N135" s="89"/>
      <c r="O135" s="98" t="str">
        <f t="shared" si="136"/>
        <v>_x000D__x000D_</v>
      </c>
      <c r="P135" s="144" t="str">
        <f>CONCATENATE(V135,R135,X135)</f>
        <v>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_x000D__x000D_Efficient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regard._x000D__x000D_Develop and maintain a frequent forest inventory system to facilitate monitoring of forest  status; and initiate a research programme on a range of climate change-related topics, including long term impacts of climatic shifts on closed forests.</v>
      </c>
      <c r="Q135" s="55"/>
      <c r="R135" s="64" t="s">
        <v>918</v>
      </c>
      <c r="S135" s="425"/>
      <c r="T135" s="300" t="s">
        <v>840</v>
      </c>
      <c r="U135" s="300" t="s">
        <v>908</v>
      </c>
      <c r="V135" s="300" t="s">
        <v>989</v>
      </c>
      <c r="W135" s="258">
        <v>1</v>
      </c>
      <c r="X135" s="307" t="s">
        <v>922</v>
      </c>
      <c r="Y135" s="274"/>
      <c r="Z135" s="426" t="s">
        <v>819</v>
      </c>
      <c r="AA135" s="320">
        <f t="shared" si="130"/>
        <v>1</v>
      </c>
      <c r="AB135" s="320">
        <f t="shared" si="138"/>
        <v>0</v>
      </c>
      <c r="AC135" s="320">
        <f t="shared" si="139"/>
        <v>1</v>
      </c>
      <c r="AD135" s="320">
        <f t="shared" si="140"/>
        <v>0</v>
      </c>
      <c r="AE135" s="320">
        <f t="shared" ref="AE135:AE146" si="172">IF(ISNUMBER(SEARCH("3",$Z135)),1,0)</f>
        <v>1</v>
      </c>
      <c r="AF135" s="320">
        <f t="shared" si="141"/>
        <v>1</v>
      </c>
      <c r="AG135" s="320">
        <f t="shared" si="129"/>
        <v>1</v>
      </c>
      <c r="AH135" s="427">
        <v>1</v>
      </c>
      <c r="AI135" s="320">
        <f t="shared" si="142"/>
        <v>1</v>
      </c>
      <c r="AJ135" s="320">
        <f t="shared" si="143"/>
        <v>0</v>
      </c>
      <c r="AK135" s="320">
        <f t="shared" si="144"/>
        <v>0</v>
      </c>
      <c r="AL135" s="320">
        <f t="shared" si="145"/>
        <v>0</v>
      </c>
      <c r="AM135" s="320">
        <f t="shared" si="146"/>
        <v>0</v>
      </c>
      <c r="AN135" s="320">
        <f t="shared" si="147"/>
        <v>0</v>
      </c>
      <c r="AO135" s="427">
        <v>3</v>
      </c>
      <c r="AP135" s="320">
        <f t="shared" ref="AP135:AP198" si="173">IF(ISNUMBER(SEARCH("1",$AO135)),1,0)</f>
        <v>0</v>
      </c>
      <c r="AQ135" s="320">
        <f t="shared" si="148"/>
        <v>0</v>
      </c>
      <c r="AR135" s="320">
        <f t="shared" si="149"/>
        <v>0</v>
      </c>
      <c r="AS135" s="320">
        <f t="shared" si="150"/>
        <v>0</v>
      </c>
      <c r="AT135" s="320">
        <f t="shared" si="151"/>
        <v>1</v>
      </c>
      <c r="AU135" s="320">
        <f t="shared" si="152"/>
        <v>0</v>
      </c>
      <c r="AV135" s="427">
        <v>1</v>
      </c>
      <c r="AW135" s="320">
        <f t="shared" si="153"/>
        <v>1</v>
      </c>
      <c r="AX135" s="320">
        <f t="shared" si="154"/>
        <v>0</v>
      </c>
      <c r="AY135" s="320">
        <f t="shared" si="155"/>
        <v>0</v>
      </c>
      <c r="AZ135" s="320">
        <f t="shared" si="156"/>
        <v>0</v>
      </c>
      <c r="BA135" s="17">
        <v>1</v>
      </c>
      <c r="BB135" s="17" t="s">
        <v>840</v>
      </c>
      <c r="BC135" s="17">
        <v>0</v>
      </c>
      <c r="BD135" s="17">
        <v>1</v>
      </c>
      <c r="BE135" s="17">
        <v>0</v>
      </c>
      <c r="BF135" s="17">
        <v>0</v>
      </c>
      <c r="BG135" s="428">
        <f t="shared" si="131"/>
        <v>0</v>
      </c>
      <c r="BH135" s="17">
        <v>0</v>
      </c>
      <c r="BI135" s="17">
        <v>1</v>
      </c>
      <c r="BJ135" s="17" t="s">
        <v>908</v>
      </c>
      <c r="BK135" s="17"/>
      <c r="BL135" s="17">
        <v>1</v>
      </c>
      <c r="BM135" s="17" t="s">
        <v>1166</v>
      </c>
      <c r="BN135" s="320">
        <f t="shared" si="132"/>
        <v>1</v>
      </c>
      <c r="BO135" s="320">
        <f t="shared" si="117"/>
        <v>0</v>
      </c>
      <c r="BP135" s="427">
        <v>1</v>
      </c>
      <c r="BQ135" s="427" t="s">
        <v>1167</v>
      </c>
      <c r="BR135" s="320">
        <f t="shared" ref="BR135:BS146" si="174">IF(ISNUMBER(SEARCH("1",$BP135)),1,0)</f>
        <v>1</v>
      </c>
      <c r="BS135" s="320">
        <v>0</v>
      </c>
      <c r="BT135" s="427">
        <v>0</v>
      </c>
      <c r="BU135" s="320">
        <f t="shared" si="157"/>
        <v>0</v>
      </c>
      <c r="BV135" s="320">
        <f t="shared" si="158"/>
        <v>0</v>
      </c>
      <c r="BW135" s="320">
        <f t="shared" ref="BW135:BW198" si="175">IF(ISNUMBER(SEARCH("t",$BT135)),1,0)</f>
        <v>0</v>
      </c>
      <c r="BX135" s="427">
        <v>1</v>
      </c>
      <c r="BY135" s="320">
        <f t="shared" si="133"/>
        <v>1</v>
      </c>
      <c r="BZ135" s="320">
        <f t="shared" si="159"/>
        <v>0</v>
      </c>
      <c r="CA135" s="320">
        <f t="shared" si="127"/>
        <v>0</v>
      </c>
      <c r="CB135" s="320">
        <f t="shared" si="134"/>
        <v>0</v>
      </c>
      <c r="CC135" s="427">
        <v>0</v>
      </c>
      <c r="CD135" s="320">
        <f t="shared" si="160"/>
        <v>0</v>
      </c>
      <c r="CE135" s="320">
        <f t="shared" si="161"/>
        <v>0</v>
      </c>
      <c r="CF135" s="320">
        <f t="shared" si="162"/>
        <v>0</v>
      </c>
      <c r="CG135" s="320">
        <f t="shared" si="163"/>
        <v>0</v>
      </c>
      <c r="CH135" s="427">
        <v>0</v>
      </c>
      <c r="CI135" s="427">
        <v>0</v>
      </c>
      <c r="CJ135" s="427">
        <v>0</v>
      </c>
      <c r="CK135" s="427">
        <v>0</v>
      </c>
      <c r="CL135" s="320">
        <f t="shared" si="116"/>
        <v>0</v>
      </c>
      <c r="CM135" s="320">
        <f t="shared" si="164"/>
        <v>0</v>
      </c>
      <c r="CN135" s="320">
        <f t="shared" si="165"/>
        <v>0</v>
      </c>
      <c r="CO135" s="320">
        <f t="shared" si="166"/>
        <v>0</v>
      </c>
      <c r="CP135" s="427">
        <v>1</v>
      </c>
      <c r="CQ135" s="427">
        <v>2</v>
      </c>
      <c r="CR135" s="320">
        <f t="shared" si="167"/>
        <v>0</v>
      </c>
      <c r="CS135" s="320">
        <f t="shared" ref="CS135:CS198" si="176">IF(ISNUMBER(SEARCH("1s",$CQ135)),1,0)</f>
        <v>0</v>
      </c>
      <c r="CT135" s="320">
        <f t="shared" si="120"/>
        <v>1</v>
      </c>
      <c r="CU135" s="320">
        <f t="shared" si="121"/>
        <v>0</v>
      </c>
      <c r="CV135" s="427">
        <v>0</v>
      </c>
      <c r="CW135" s="17">
        <v>0</v>
      </c>
      <c r="CX135" s="320">
        <f t="shared" si="122"/>
        <v>0</v>
      </c>
      <c r="CY135" s="320">
        <f t="shared" si="168"/>
        <v>0</v>
      </c>
      <c r="CZ135" s="320">
        <f t="shared" si="169"/>
        <v>0</v>
      </c>
      <c r="DA135" s="17"/>
      <c r="DB135" s="17"/>
      <c r="DC135" s="17"/>
      <c r="DD135" s="31"/>
      <c r="DE135" s="323" t="s">
        <v>387</v>
      </c>
      <c r="DF135" s="323" t="s">
        <v>387</v>
      </c>
      <c r="DG135" s="323" t="s">
        <v>821</v>
      </c>
      <c r="DH135" s="323">
        <v>0</v>
      </c>
      <c r="DI135" s="323"/>
      <c r="DJ135" s="323">
        <v>0</v>
      </c>
      <c r="DK135" s="323">
        <v>1</v>
      </c>
      <c r="DL135" s="323">
        <v>1</v>
      </c>
      <c r="DM135" s="323">
        <v>1</v>
      </c>
      <c r="DN135" s="323">
        <v>0</v>
      </c>
      <c r="DO135" s="323">
        <v>0</v>
      </c>
      <c r="DP135" s="324">
        <v>1</v>
      </c>
      <c r="DQ135" s="291"/>
      <c r="DR135" s="239">
        <f>SUM(DS135:DX135)/6</f>
        <v>0.26584138486312398</v>
      </c>
      <c r="DS135" s="429">
        <f t="shared" si="170"/>
        <v>0.34782608695652173</v>
      </c>
      <c r="DT135" s="448">
        <f>SUM(BA135:BE135,BG135)/5</f>
        <v>0.4</v>
      </c>
      <c r="DU135" s="429">
        <f>SUM(BI135,BO135,BS135,BU135:BW135)/6</f>
        <v>0.16666666666666666</v>
      </c>
      <c r="DV135" s="429">
        <f>SUM(BY135-CB135,CD135-CG135)/8</f>
        <v>0.125</v>
      </c>
      <c r="DW135" s="429">
        <f>SUM(CH135:CJ135,CL135:CO135,BN135,BR135)/9</f>
        <v>0.22222222222222221</v>
      </c>
      <c r="DX135" s="429">
        <f>SUM(CP135,CR135:CV135)/6</f>
        <v>0.33333333333333331</v>
      </c>
      <c r="DY135" s="429"/>
      <c r="DZ135" s="134"/>
      <c r="EA135" s="135"/>
      <c r="EB135" s="135"/>
      <c r="EC135" s="135"/>
      <c r="ED135" s="124"/>
      <c r="EH135" s="179"/>
      <c r="EI135" s="188"/>
      <c r="EJ135" s="180" t="b">
        <f t="shared" si="171"/>
        <v>0</v>
      </c>
      <c r="EK135" s="181"/>
      <c r="EL135" s="181"/>
      <c r="EM135" s="181"/>
      <c r="EN135" s="463"/>
      <c r="EO135" s="463"/>
      <c r="EP135" s="463"/>
      <c r="EQ135" s="182"/>
      <c r="ER135" s="464"/>
      <c r="ES135" s="465"/>
      <c r="ET135" s="465"/>
      <c r="EU135" s="465"/>
      <c r="EV135" s="466"/>
      <c r="EZ135" s="393" t="s">
        <v>155</v>
      </c>
      <c r="FA135" s="393" t="s">
        <v>155</v>
      </c>
      <c r="FB135" s="389">
        <v>17234</v>
      </c>
      <c r="FC135" s="389">
        <v>13137</v>
      </c>
      <c r="FD135" s="389">
        <v>11089</v>
      </c>
      <c r="FE135" s="389">
        <v>9041</v>
      </c>
      <c r="FF135" s="389">
        <v>6993</v>
      </c>
      <c r="FG135" s="390">
        <v>-3.1179112430539696E-2</v>
      </c>
      <c r="FH135" s="390">
        <v>-3.6937505636216075E-2</v>
      </c>
      <c r="FI135" s="390">
        <v>-4.5304722928879548E-2</v>
      </c>
      <c r="FJ135" s="391">
        <v>0.22652361464439755</v>
      </c>
      <c r="FK135" s="391" t="s">
        <v>1386</v>
      </c>
      <c r="FL135" s="31" t="s">
        <v>1379</v>
      </c>
      <c r="FN135" s="128" t="s">
        <v>1646</v>
      </c>
      <c r="FO135" s="128" t="s">
        <v>1647</v>
      </c>
      <c r="FP135" s="128"/>
    </row>
    <row r="136" spans="1:172" ht="22" hidden="1" customHeight="1" x14ac:dyDescent="0.2">
      <c r="A136" s="13" t="s">
        <v>24</v>
      </c>
      <c r="B136" s="14" t="s">
        <v>67</v>
      </c>
      <c r="C136" s="14"/>
      <c r="D136" s="14"/>
      <c r="E136" s="128" t="s">
        <v>156</v>
      </c>
      <c r="F136" s="15"/>
      <c r="G136" s="15" t="s">
        <v>635</v>
      </c>
      <c r="H136" s="91">
        <f t="shared" ref="H136:H146" si="177">IF(G136="YES",0,1)</f>
        <v>0</v>
      </c>
      <c r="I136" s="95">
        <f t="shared" si="123"/>
        <v>0</v>
      </c>
      <c r="J136" s="91"/>
      <c r="K136" s="256">
        <f t="shared" si="137"/>
        <v>0</v>
      </c>
      <c r="L136" s="101">
        <v>0</v>
      </c>
      <c r="M136" s="99"/>
      <c r="N136" s="89"/>
      <c r="O136" s="98" t="str">
        <f t="shared" si="136"/>
        <v>_x000D__x000D_</v>
      </c>
      <c r="P136" s="98"/>
      <c r="Q136" s="55"/>
      <c r="R136" s="64" t="s">
        <v>918</v>
      </c>
      <c r="S136" s="425"/>
      <c r="T136" s="300" t="s">
        <v>878</v>
      </c>
      <c r="U136" s="300" t="s">
        <v>834</v>
      </c>
      <c r="V136" s="300" t="s">
        <v>834</v>
      </c>
      <c r="W136" s="258"/>
      <c r="X136" s="307" t="s">
        <v>834</v>
      </c>
      <c r="Y136" s="274"/>
      <c r="Z136" s="426"/>
      <c r="AA136" s="320">
        <f t="shared" si="130"/>
        <v>0</v>
      </c>
      <c r="AB136" s="320">
        <f t="shared" si="138"/>
        <v>0</v>
      </c>
      <c r="AC136" s="320">
        <f t="shared" si="139"/>
        <v>0</v>
      </c>
      <c r="AD136" s="320">
        <f t="shared" si="140"/>
        <v>0</v>
      </c>
      <c r="AE136" s="320">
        <f t="shared" si="172"/>
        <v>0</v>
      </c>
      <c r="AF136" s="320">
        <f t="shared" si="141"/>
        <v>0</v>
      </c>
      <c r="AG136" s="320">
        <f t="shared" si="129"/>
        <v>0</v>
      </c>
      <c r="AH136" s="427"/>
      <c r="AI136" s="320">
        <f t="shared" si="142"/>
        <v>0</v>
      </c>
      <c r="AJ136" s="320">
        <f t="shared" si="143"/>
        <v>0</v>
      </c>
      <c r="AK136" s="320">
        <f t="shared" si="144"/>
        <v>0</v>
      </c>
      <c r="AL136" s="320">
        <f t="shared" si="145"/>
        <v>0</v>
      </c>
      <c r="AM136" s="320">
        <f t="shared" si="146"/>
        <v>0</v>
      </c>
      <c r="AN136" s="320">
        <f t="shared" si="147"/>
        <v>0</v>
      </c>
      <c r="AO136" s="427"/>
      <c r="AP136" s="320">
        <f t="shared" si="173"/>
        <v>0</v>
      </c>
      <c r="AQ136" s="320">
        <f t="shared" si="148"/>
        <v>0</v>
      </c>
      <c r="AR136" s="320">
        <f t="shared" si="149"/>
        <v>0</v>
      </c>
      <c r="AS136" s="320">
        <f t="shared" si="150"/>
        <v>0</v>
      </c>
      <c r="AT136" s="320">
        <f t="shared" si="151"/>
        <v>0</v>
      </c>
      <c r="AU136" s="320">
        <f t="shared" si="152"/>
        <v>0</v>
      </c>
      <c r="AV136" s="427"/>
      <c r="AW136" s="320">
        <f t="shared" si="153"/>
        <v>0</v>
      </c>
      <c r="AX136" s="320">
        <f t="shared" si="154"/>
        <v>0</v>
      </c>
      <c r="AY136" s="320">
        <f t="shared" si="155"/>
        <v>0</v>
      </c>
      <c r="AZ136" s="320">
        <f t="shared" si="156"/>
        <v>0</v>
      </c>
      <c r="BA136" s="17">
        <v>1</v>
      </c>
      <c r="BB136" s="17" t="s">
        <v>878</v>
      </c>
      <c r="BC136" s="17"/>
      <c r="BD136" s="17"/>
      <c r="BE136" s="17"/>
      <c r="BF136" s="17"/>
      <c r="BG136" s="428">
        <f t="shared" si="131"/>
        <v>0</v>
      </c>
      <c r="BH136" s="17"/>
      <c r="BI136" s="17"/>
      <c r="BJ136" s="17"/>
      <c r="BK136" s="17"/>
      <c r="BL136" s="17"/>
      <c r="BM136" s="17"/>
      <c r="BN136" s="320">
        <f t="shared" si="132"/>
        <v>0</v>
      </c>
      <c r="BO136" s="320">
        <f t="shared" si="117"/>
        <v>0</v>
      </c>
      <c r="BP136" s="427"/>
      <c r="BQ136" s="427"/>
      <c r="BR136" s="320">
        <f t="shared" si="174"/>
        <v>0</v>
      </c>
      <c r="BS136" s="320">
        <f t="shared" si="174"/>
        <v>0</v>
      </c>
      <c r="BT136" s="427"/>
      <c r="BU136" s="320">
        <f t="shared" si="157"/>
        <v>0</v>
      </c>
      <c r="BV136" s="320">
        <f t="shared" si="158"/>
        <v>0</v>
      </c>
      <c r="BW136" s="320">
        <f t="shared" si="175"/>
        <v>0</v>
      </c>
      <c r="BX136" s="427"/>
      <c r="BY136" s="320">
        <f t="shared" si="133"/>
        <v>0</v>
      </c>
      <c r="BZ136" s="320">
        <f t="shared" si="159"/>
        <v>0</v>
      </c>
      <c r="CA136" s="320">
        <f t="shared" si="127"/>
        <v>0</v>
      </c>
      <c r="CB136" s="320">
        <f t="shared" si="134"/>
        <v>0</v>
      </c>
      <c r="CC136" s="427"/>
      <c r="CD136" s="320">
        <f t="shared" si="160"/>
        <v>0</v>
      </c>
      <c r="CE136" s="320">
        <f t="shared" si="161"/>
        <v>0</v>
      </c>
      <c r="CF136" s="320">
        <f t="shared" si="162"/>
        <v>0</v>
      </c>
      <c r="CG136" s="320">
        <f t="shared" si="163"/>
        <v>0</v>
      </c>
      <c r="CH136" s="427"/>
      <c r="CI136" s="427"/>
      <c r="CJ136" s="427"/>
      <c r="CK136" s="427"/>
      <c r="CL136" s="320">
        <f t="shared" ref="CL136:CL199" si="178">IF(ISNUMBER(SEARCH("1",$CK136)),1,0)</f>
        <v>0</v>
      </c>
      <c r="CM136" s="320">
        <f t="shared" si="164"/>
        <v>0</v>
      </c>
      <c r="CN136" s="320">
        <f t="shared" si="165"/>
        <v>0</v>
      </c>
      <c r="CO136" s="320">
        <f t="shared" si="166"/>
        <v>0</v>
      </c>
      <c r="CP136" s="427"/>
      <c r="CQ136" s="427"/>
      <c r="CR136" s="320">
        <f t="shared" si="167"/>
        <v>0</v>
      </c>
      <c r="CS136" s="320">
        <f t="shared" si="176"/>
        <v>0</v>
      </c>
      <c r="CT136" s="320">
        <f t="shared" si="120"/>
        <v>0</v>
      </c>
      <c r="CU136" s="320">
        <f t="shared" si="121"/>
        <v>0</v>
      </c>
      <c r="CV136" s="427"/>
      <c r="CW136" s="17"/>
      <c r="CX136" s="320">
        <f t="shared" si="122"/>
        <v>0</v>
      </c>
      <c r="CY136" s="320">
        <f t="shared" si="168"/>
        <v>0</v>
      </c>
      <c r="CZ136" s="320">
        <f t="shared" si="169"/>
        <v>0</v>
      </c>
      <c r="DA136" s="17"/>
      <c r="DB136" s="17"/>
      <c r="DC136" s="17"/>
      <c r="DD136" s="31"/>
      <c r="DE136" s="321"/>
      <c r="DF136" s="321"/>
      <c r="DG136" s="321"/>
      <c r="DH136" s="321"/>
      <c r="DI136" s="321"/>
      <c r="DJ136" s="321"/>
      <c r="DK136" s="321"/>
      <c r="DL136" s="321"/>
      <c r="DM136" s="321"/>
      <c r="DN136" s="321"/>
      <c r="DO136" s="321"/>
      <c r="DP136" s="322"/>
      <c r="DQ136" s="288"/>
      <c r="DR136" s="241"/>
      <c r="DS136" s="429">
        <f t="shared" si="170"/>
        <v>0</v>
      </c>
      <c r="DT136" s="429"/>
      <c r="DU136" s="429"/>
      <c r="DV136" s="429"/>
      <c r="DW136" s="429"/>
      <c r="DX136" s="429"/>
      <c r="DY136" s="429"/>
      <c r="DZ136" s="134"/>
      <c r="EA136" s="134"/>
      <c r="EB136" s="134"/>
      <c r="EC136" s="134"/>
      <c r="ED136" s="123"/>
      <c r="EH136" s="44"/>
      <c r="EI136" s="45"/>
      <c r="EJ136" s="33" t="b">
        <f t="shared" si="171"/>
        <v>0</v>
      </c>
      <c r="EK136" s="42"/>
      <c r="EL136" s="42"/>
      <c r="EM136" s="42"/>
      <c r="EN136" s="439"/>
      <c r="EO136" s="439"/>
      <c r="EP136" s="439"/>
      <c r="EQ136" s="38"/>
      <c r="ER136" s="440">
        <v>0</v>
      </c>
      <c r="ES136" s="431"/>
      <c r="ET136" s="431"/>
      <c r="EU136" s="431"/>
      <c r="EV136" s="447"/>
      <c r="EZ136" s="393" t="s">
        <v>156</v>
      </c>
      <c r="FA136" s="393" t="s">
        <v>156</v>
      </c>
      <c r="FB136" s="389">
        <v>20.6</v>
      </c>
      <c r="FC136" s="389">
        <v>19.600000000000001</v>
      </c>
      <c r="FD136" s="389">
        <v>19.100000000000001</v>
      </c>
      <c r="FE136" s="389">
        <v>18.600000000000001</v>
      </c>
      <c r="FF136" s="389">
        <v>18.100000000000001</v>
      </c>
      <c r="FG136" s="390">
        <v>-5.1020408163265302E-3</v>
      </c>
      <c r="FH136" s="390">
        <v>-5.2356020942408371E-3</v>
      </c>
      <c r="FI136" s="390">
        <v>-5.3763440860215049E-3</v>
      </c>
      <c r="FJ136" s="391">
        <v>2.6881720430107552E-2</v>
      </c>
      <c r="FK136" s="391" t="s">
        <v>1386</v>
      </c>
      <c r="FL136" s="31" t="s">
        <v>1379</v>
      </c>
      <c r="FN136" s="128"/>
      <c r="FO136" s="128" t="s">
        <v>1648</v>
      </c>
      <c r="FP136" s="128"/>
    </row>
    <row r="137" spans="1:172" ht="22" hidden="1" customHeight="1" x14ac:dyDescent="0.2">
      <c r="A137" s="13" t="s">
        <v>7</v>
      </c>
      <c r="B137" s="14" t="s">
        <v>77</v>
      </c>
      <c r="C137" s="9" t="s">
        <v>1045</v>
      </c>
      <c r="D137" s="14"/>
      <c r="E137" s="128" t="s">
        <v>157</v>
      </c>
      <c r="F137" s="15"/>
      <c r="G137" s="15" t="s">
        <v>634</v>
      </c>
      <c r="H137" s="91">
        <f t="shared" si="177"/>
        <v>1</v>
      </c>
      <c r="I137" s="95">
        <f t="shared" si="123"/>
        <v>2</v>
      </c>
      <c r="J137" s="91"/>
      <c r="K137" s="256">
        <f t="shared" si="137"/>
        <v>3</v>
      </c>
      <c r="L137" s="101" t="s">
        <v>678</v>
      </c>
      <c r="M137" s="99">
        <v>1</v>
      </c>
      <c r="N137" s="89"/>
      <c r="O137" s="98" t="str">
        <f t="shared" si="136"/>
        <v>_x000D__x000D_</v>
      </c>
      <c r="P137" s="98" t="str">
        <f>CONCATENATE(V137,R137,X137)</f>
        <v>_x000D__x000D_</v>
      </c>
      <c r="Q137" s="55"/>
      <c r="R137" s="64" t="s">
        <v>918</v>
      </c>
      <c r="S137" s="425"/>
      <c r="T137" s="300" t="s">
        <v>834</v>
      </c>
      <c r="U137" s="300" t="s">
        <v>834</v>
      </c>
      <c r="V137" s="300" t="s">
        <v>834</v>
      </c>
      <c r="W137" s="258"/>
      <c r="X137" s="307" t="s">
        <v>834</v>
      </c>
      <c r="Y137" s="274"/>
      <c r="Z137" s="426"/>
      <c r="AA137" s="320">
        <f t="shared" si="130"/>
        <v>0</v>
      </c>
      <c r="AB137" s="320">
        <f t="shared" si="138"/>
        <v>0</v>
      </c>
      <c r="AC137" s="320">
        <f t="shared" si="139"/>
        <v>0</v>
      </c>
      <c r="AD137" s="320">
        <f t="shared" si="140"/>
        <v>0</v>
      </c>
      <c r="AE137" s="320">
        <f t="shared" si="172"/>
        <v>0</v>
      </c>
      <c r="AF137" s="320">
        <f t="shared" si="141"/>
        <v>0</v>
      </c>
      <c r="AG137" s="320">
        <f t="shared" si="129"/>
        <v>0</v>
      </c>
      <c r="AH137" s="427"/>
      <c r="AI137" s="320">
        <f t="shared" si="142"/>
        <v>0</v>
      </c>
      <c r="AJ137" s="320">
        <f t="shared" si="143"/>
        <v>0</v>
      </c>
      <c r="AK137" s="320">
        <f t="shared" si="144"/>
        <v>0</v>
      </c>
      <c r="AL137" s="320">
        <f t="shared" si="145"/>
        <v>0</v>
      </c>
      <c r="AM137" s="320">
        <f t="shared" si="146"/>
        <v>0</v>
      </c>
      <c r="AN137" s="320">
        <f t="shared" si="147"/>
        <v>0</v>
      </c>
      <c r="AO137" s="427"/>
      <c r="AP137" s="320">
        <f t="shared" si="173"/>
        <v>0</v>
      </c>
      <c r="AQ137" s="320">
        <f t="shared" si="148"/>
        <v>0</v>
      </c>
      <c r="AR137" s="320">
        <f t="shared" si="149"/>
        <v>0</v>
      </c>
      <c r="AS137" s="320">
        <f t="shared" si="150"/>
        <v>0</v>
      </c>
      <c r="AT137" s="320">
        <f t="shared" si="151"/>
        <v>0</v>
      </c>
      <c r="AU137" s="320">
        <f t="shared" si="152"/>
        <v>0</v>
      </c>
      <c r="AV137" s="427"/>
      <c r="AW137" s="320">
        <f t="shared" si="153"/>
        <v>0</v>
      </c>
      <c r="AX137" s="320">
        <f t="shared" si="154"/>
        <v>0</v>
      </c>
      <c r="AY137" s="320">
        <f t="shared" si="155"/>
        <v>0</v>
      </c>
      <c r="AZ137" s="320">
        <f t="shared" si="156"/>
        <v>0</v>
      </c>
      <c r="BA137" s="17"/>
      <c r="BB137" s="17" t="s">
        <v>834</v>
      </c>
      <c r="BC137" s="17"/>
      <c r="BD137" s="17"/>
      <c r="BE137" s="17"/>
      <c r="BF137" s="17"/>
      <c r="BG137" s="428">
        <f t="shared" si="131"/>
        <v>0</v>
      </c>
      <c r="BH137" s="17"/>
      <c r="BI137" s="17"/>
      <c r="BJ137" s="17"/>
      <c r="BK137" s="17"/>
      <c r="BL137" s="17"/>
      <c r="BM137" s="17"/>
      <c r="BN137" s="320">
        <f t="shared" si="132"/>
        <v>0</v>
      </c>
      <c r="BO137" s="320">
        <f t="shared" si="117"/>
        <v>0</v>
      </c>
      <c r="BP137" s="427"/>
      <c r="BQ137" s="427"/>
      <c r="BR137" s="320">
        <f t="shared" si="174"/>
        <v>0</v>
      </c>
      <c r="BS137" s="320">
        <f t="shared" si="174"/>
        <v>0</v>
      </c>
      <c r="BT137" s="427"/>
      <c r="BU137" s="320">
        <f t="shared" si="157"/>
        <v>0</v>
      </c>
      <c r="BV137" s="320">
        <f t="shared" si="158"/>
        <v>0</v>
      </c>
      <c r="BW137" s="320">
        <f t="shared" si="175"/>
        <v>0</v>
      </c>
      <c r="BX137" s="427"/>
      <c r="BY137" s="320">
        <f t="shared" si="133"/>
        <v>0</v>
      </c>
      <c r="BZ137" s="320">
        <f t="shared" si="159"/>
        <v>0</v>
      </c>
      <c r="CA137" s="320">
        <f t="shared" si="127"/>
        <v>0</v>
      </c>
      <c r="CB137" s="320">
        <f t="shared" si="134"/>
        <v>0</v>
      </c>
      <c r="CC137" s="427"/>
      <c r="CD137" s="320">
        <f t="shared" si="160"/>
        <v>0</v>
      </c>
      <c r="CE137" s="320">
        <f t="shared" si="161"/>
        <v>0</v>
      </c>
      <c r="CF137" s="320">
        <f t="shared" si="162"/>
        <v>0</v>
      </c>
      <c r="CG137" s="320">
        <f t="shared" si="163"/>
        <v>0</v>
      </c>
      <c r="CH137" s="427"/>
      <c r="CI137" s="427"/>
      <c r="CJ137" s="427"/>
      <c r="CK137" s="427"/>
      <c r="CL137" s="320">
        <f t="shared" si="178"/>
        <v>0</v>
      </c>
      <c r="CM137" s="320">
        <f t="shared" si="164"/>
        <v>0</v>
      </c>
      <c r="CN137" s="320">
        <f t="shared" si="165"/>
        <v>0</v>
      </c>
      <c r="CO137" s="320">
        <f t="shared" si="166"/>
        <v>0</v>
      </c>
      <c r="CP137" s="427"/>
      <c r="CQ137" s="427"/>
      <c r="CR137" s="320">
        <f t="shared" si="167"/>
        <v>0</v>
      </c>
      <c r="CS137" s="320">
        <f t="shared" si="176"/>
        <v>0</v>
      </c>
      <c r="CT137" s="320">
        <f t="shared" si="120"/>
        <v>0</v>
      </c>
      <c r="CU137" s="320">
        <f t="shared" si="121"/>
        <v>0</v>
      </c>
      <c r="CV137" s="427"/>
      <c r="CW137" s="17"/>
      <c r="CX137" s="320">
        <f t="shared" si="122"/>
        <v>0</v>
      </c>
      <c r="CY137" s="320">
        <f t="shared" si="168"/>
        <v>0</v>
      </c>
      <c r="CZ137" s="320">
        <f t="shared" si="169"/>
        <v>0</v>
      </c>
      <c r="DA137" s="17"/>
      <c r="DB137" s="17"/>
      <c r="DC137" s="17"/>
      <c r="DD137" s="31"/>
      <c r="DE137" s="323"/>
      <c r="DF137" s="323"/>
      <c r="DG137" s="323"/>
      <c r="DH137" s="323"/>
      <c r="DI137" s="323"/>
      <c r="DJ137" s="323"/>
      <c r="DK137" s="323"/>
      <c r="DL137" s="323"/>
      <c r="DM137" s="323"/>
      <c r="DN137" s="323"/>
      <c r="DO137" s="323"/>
      <c r="DP137" s="324"/>
      <c r="DQ137" s="288"/>
      <c r="DR137" s="242"/>
      <c r="DS137" s="429">
        <f t="shared" si="170"/>
        <v>0</v>
      </c>
      <c r="DT137" s="429">
        <f>SUM(BA137:BF137)/5</f>
        <v>0</v>
      </c>
      <c r="DU137" s="429"/>
      <c r="DV137" s="429"/>
      <c r="DW137" s="429"/>
      <c r="DX137" s="429"/>
      <c r="DY137" s="429"/>
      <c r="DZ137" s="134"/>
      <c r="EA137" s="134"/>
      <c r="EB137" s="134"/>
      <c r="EC137" s="134"/>
      <c r="ED137" s="123"/>
      <c r="EH137" s="46"/>
      <c r="EI137" s="45"/>
      <c r="EJ137" s="33" t="e">
        <f t="shared" si="171"/>
        <v>#VALUE!</v>
      </c>
      <c r="EK137" s="42"/>
      <c r="EL137" s="42"/>
      <c r="EM137" s="42"/>
      <c r="EN137" s="439"/>
      <c r="EO137" s="439"/>
      <c r="EP137" s="439"/>
      <c r="EQ137" s="47"/>
      <c r="ER137" s="440"/>
      <c r="ES137" s="431"/>
      <c r="ET137" s="431"/>
      <c r="EU137" s="431"/>
      <c r="EV137" s="447"/>
      <c r="EZ137" s="393" t="s">
        <v>157</v>
      </c>
      <c r="FA137" s="393" t="s">
        <v>157</v>
      </c>
      <c r="FB137" s="389">
        <v>12132</v>
      </c>
      <c r="FC137" s="389">
        <v>12113</v>
      </c>
      <c r="FD137" s="389">
        <v>12092</v>
      </c>
      <c r="FE137" s="389">
        <v>12102</v>
      </c>
      <c r="FF137" s="389">
        <v>12112</v>
      </c>
      <c r="FG137" s="390">
        <v>-3.4673491290349208E-4</v>
      </c>
      <c r="FH137" s="390">
        <v>1.6539861065167054E-4</v>
      </c>
      <c r="FI137" s="390">
        <v>1.6526194017517766E-4</v>
      </c>
      <c r="FJ137" s="391" t="s">
        <v>1389</v>
      </c>
      <c r="FK137" s="391">
        <v>-8.2630970087592133E-4</v>
      </c>
      <c r="FL137" s="31" t="s">
        <v>1394</v>
      </c>
      <c r="FN137" s="128" t="s">
        <v>634</v>
      </c>
      <c r="FO137" s="128" t="s">
        <v>1649</v>
      </c>
      <c r="FP137" s="128"/>
    </row>
    <row r="138" spans="1:172" ht="22" hidden="1" customHeight="1" x14ac:dyDescent="0.2">
      <c r="A138" s="13" t="s">
        <v>4</v>
      </c>
      <c r="B138" s="14" t="s">
        <v>21</v>
      </c>
      <c r="C138" s="14"/>
      <c r="D138" s="14"/>
      <c r="E138" s="128" t="s">
        <v>158</v>
      </c>
      <c r="F138" s="15"/>
      <c r="G138" s="15" t="s">
        <v>634</v>
      </c>
      <c r="H138" s="91">
        <f t="shared" si="177"/>
        <v>1</v>
      </c>
      <c r="I138" s="95">
        <f t="shared" si="123"/>
        <v>0</v>
      </c>
      <c r="J138" s="94"/>
      <c r="K138" s="256">
        <f t="shared" si="137"/>
        <v>1</v>
      </c>
      <c r="L138" s="285">
        <v>0</v>
      </c>
      <c r="M138" s="102"/>
      <c r="N138" s="89"/>
      <c r="O138" s="98" t="str">
        <f t="shared" si="136"/>
        <v>_x000D__x000D_</v>
      </c>
      <c r="P138" s="98"/>
      <c r="Q138" s="55"/>
      <c r="R138" s="64" t="s">
        <v>918</v>
      </c>
      <c r="S138" s="425"/>
      <c r="T138" s="300" t="s">
        <v>834</v>
      </c>
      <c r="U138" s="300" t="s">
        <v>834</v>
      </c>
      <c r="V138" s="300" t="s">
        <v>834</v>
      </c>
      <c r="W138" s="258"/>
      <c r="X138" s="307" t="s">
        <v>834</v>
      </c>
      <c r="Y138" s="274"/>
      <c r="Z138" s="426"/>
      <c r="AA138" s="320">
        <f t="shared" si="130"/>
        <v>0</v>
      </c>
      <c r="AB138" s="320">
        <f t="shared" si="138"/>
        <v>0</v>
      </c>
      <c r="AC138" s="320">
        <f t="shared" si="139"/>
        <v>0</v>
      </c>
      <c r="AD138" s="320">
        <f t="shared" si="140"/>
        <v>0</v>
      </c>
      <c r="AE138" s="320">
        <f t="shared" si="172"/>
        <v>0</v>
      </c>
      <c r="AF138" s="320">
        <f t="shared" si="141"/>
        <v>0</v>
      </c>
      <c r="AG138" s="320">
        <f t="shared" si="129"/>
        <v>0</v>
      </c>
      <c r="AH138" s="427"/>
      <c r="AI138" s="320">
        <f t="shared" si="142"/>
        <v>0</v>
      </c>
      <c r="AJ138" s="320">
        <f t="shared" si="143"/>
        <v>0</v>
      </c>
      <c r="AK138" s="320">
        <f t="shared" si="144"/>
        <v>0</v>
      </c>
      <c r="AL138" s="320">
        <f t="shared" si="145"/>
        <v>0</v>
      </c>
      <c r="AM138" s="320">
        <f t="shared" si="146"/>
        <v>0</v>
      </c>
      <c r="AN138" s="320">
        <f t="shared" si="147"/>
        <v>0</v>
      </c>
      <c r="AO138" s="427"/>
      <c r="AP138" s="320">
        <f t="shared" si="173"/>
        <v>0</v>
      </c>
      <c r="AQ138" s="320">
        <f t="shared" si="148"/>
        <v>0</v>
      </c>
      <c r="AR138" s="320">
        <f t="shared" si="149"/>
        <v>0</v>
      </c>
      <c r="AS138" s="320">
        <f t="shared" si="150"/>
        <v>0</v>
      </c>
      <c r="AT138" s="320">
        <f t="shared" si="151"/>
        <v>0</v>
      </c>
      <c r="AU138" s="320">
        <f t="shared" si="152"/>
        <v>0</v>
      </c>
      <c r="AV138" s="427"/>
      <c r="AW138" s="320">
        <f t="shared" si="153"/>
        <v>0</v>
      </c>
      <c r="AX138" s="320">
        <f t="shared" si="154"/>
        <v>0</v>
      </c>
      <c r="AY138" s="320">
        <f t="shared" si="155"/>
        <v>0</v>
      </c>
      <c r="AZ138" s="320">
        <f t="shared" si="156"/>
        <v>0</v>
      </c>
      <c r="BA138" s="17"/>
      <c r="BB138" s="17" t="s">
        <v>834</v>
      </c>
      <c r="BC138" s="17"/>
      <c r="BD138" s="17"/>
      <c r="BE138" s="17"/>
      <c r="BF138" s="17"/>
      <c r="BG138" s="428">
        <f t="shared" si="131"/>
        <v>0</v>
      </c>
      <c r="BH138" s="17"/>
      <c r="BI138" s="17"/>
      <c r="BJ138" s="17"/>
      <c r="BK138" s="17"/>
      <c r="BL138" s="17"/>
      <c r="BM138" s="17"/>
      <c r="BN138" s="320">
        <f t="shared" si="132"/>
        <v>0</v>
      </c>
      <c r="BO138" s="320">
        <f t="shared" si="117"/>
        <v>0</v>
      </c>
      <c r="BP138" s="427"/>
      <c r="BQ138" s="427"/>
      <c r="BR138" s="320">
        <f t="shared" si="174"/>
        <v>0</v>
      </c>
      <c r="BS138" s="320">
        <f t="shared" si="174"/>
        <v>0</v>
      </c>
      <c r="BT138" s="427"/>
      <c r="BU138" s="320">
        <f t="shared" si="157"/>
        <v>0</v>
      </c>
      <c r="BV138" s="320">
        <f t="shared" si="158"/>
        <v>0</v>
      </c>
      <c r="BW138" s="320">
        <f t="shared" si="175"/>
        <v>0</v>
      </c>
      <c r="BX138" s="427"/>
      <c r="BY138" s="320">
        <f t="shared" si="133"/>
        <v>0</v>
      </c>
      <c r="BZ138" s="320">
        <f t="shared" si="159"/>
        <v>0</v>
      </c>
      <c r="CA138" s="320">
        <f t="shared" si="127"/>
        <v>0</v>
      </c>
      <c r="CB138" s="320">
        <f t="shared" si="134"/>
        <v>0</v>
      </c>
      <c r="CC138" s="427"/>
      <c r="CD138" s="320">
        <f t="shared" si="160"/>
        <v>0</v>
      </c>
      <c r="CE138" s="320">
        <f t="shared" si="161"/>
        <v>0</v>
      </c>
      <c r="CF138" s="320">
        <f t="shared" si="162"/>
        <v>0</v>
      </c>
      <c r="CG138" s="320">
        <f t="shared" si="163"/>
        <v>0</v>
      </c>
      <c r="CH138" s="427"/>
      <c r="CI138" s="427"/>
      <c r="CJ138" s="427"/>
      <c r="CK138" s="427"/>
      <c r="CL138" s="320">
        <f t="shared" si="178"/>
        <v>0</v>
      </c>
      <c r="CM138" s="320">
        <f t="shared" si="164"/>
        <v>0</v>
      </c>
      <c r="CN138" s="320">
        <f t="shared" si="165"/>
        <v>0</v>
      </c>
      <c r="CO138" s="320">
        <f t="shared" si="166"/>
        <v>0</v>
      </c>
      <c r="CP138" s="427"/>
      <c r="CQ138" s="427"/>
      <c r="CR138" s="320">
        <f t="shared" si="167"/>
        <v>0</v>
      </c>
      <c r="CS138" s="320">
        <f t="shared" si="176"/>
        <v>0</v>
      </c>
      <c r="CT138" s="320">
        <f t="shared" si="120"/>
        <v>0</v>
      </c>
      <c r="CU138" s="320">
        <f t="shared" si="121"/>
        <v>0</v>
      </c>
      <c r="CV138" s="427"/>
      <c r="CW138" s="17"/>
      <c r="CX138" s="320">
        <f t="shared" si="122"/>
        <v>0</v>
      </c>
      <c r="CY138" s="320">
        <f t="shared" si="168"/>
        <v>0</v>
      </c>
      <c r="CZ138" s="320">
        <f t="shared" si="169"/>
        <v>0</v>
      </c>
      <c r="DA138" s="17"/>
      <c r="DB138" s="17"/>
      <c r="DC138" s="17"/>
      <c r="DD138" s="31"/>
      <c r="DE138" s="321"/>
      <c r="DF138" s="321"/>
      <c r="DG138" s="321"/>
      <c r="DH138" s="321"/>
      <c r="DI138" s="321"/>
      <c r="DJ138" s="321"/>
      <c r="DK138" s="321"/>
      <c r="DL138" s="321"/>
      <c r="DM138" s="321"/>
      <c r="DN138" s="321"/>
      <c r="DO138" s="321"/>
      <c r="DP138" s="322"/>
      <c r="DQ138" s="288"/>
      <c r="DR138" s="241"/>
      <c r="DS138" s="429">
        <f t="shared" si="170"/>
        <v>0</v>
      </c>
      <c r="DT138" s="429">
        <f>SUM(BA138:BF138)/5</f>
        <v>0</v>
      </c>
      <c r="DU138" s="429"/>
      <c r="DV138" s="429"/>
      <c r="DW138" s="429"/>
      <c r="DX138" s="429"/>
      <c r="DY138" s="429"/>
      <c r="DZ138" s="134"/>
      <c r="EA138" s="134"/>
      <c r="EB138" s="134"/>
      <c r="EC138" s="134"/>
      <c r="ED138" s="123"/>
      <c r="EH138" s="44"/>
      <c r="EI138" s="45"/>
      <c r="EJ138" s="33" t="b">
        <f t="shared" si="171"/>
        <v>0</v>
      </c>
      <c r="EK138" s="42"/>
      <c r="EL138" s="42"/>
      <c r="EM138" s="42"/>
      <c r="EN138" s="439"/>
      <c r="EO138" s="439"/>
      <c r="EP138" s="439"/>
      <c r="EQ138" s="38"/>
      <c r="ER138" s="440"/>
      <c r="ES138" s="431"/>
      <c r="ET138" s="431"/>
      <c r="EU138" s="431"/>
      <c r="EV138" s="447"/>
      <c r="EZ138" s="393" t="s">
        <v>158</v>
      </c>
      <c r="FA138" s="393" t="s">
        <v>158</v>
      </c>
      <c r="FB138" s="389">
        <v>2</v>
      </c>
      <c r="FC138" s="389">
        <v>2</v>
      </c>
      <c r="FD138" s="389">
        <v>2</v>
      </c>
      <c r="FE138" s="389">
        <v>2</v>
      </c>
      <c r="FF138" s="389">
        <v>2</v>
      </c>
      <c r="FG138" s="390">
        <v>0</v>
      </c>
      <c r="FH138" s="390">
        <v>0</v>
      </c>
      <c r="FI138" s="390">
        <v>0</v>
      </c>
      <c r="FJ138" s="391">
        <v>0</v>
      </c>
      <c r="FK138" s="391" t="s">
        <v>1386</v>
      </c>
      <c r="FL138" s="31" t="s">
        <v>1387</v>
      </c>
      <c r="FN138" s="128" t="s">
        <v>1650</v>
      </c>
      <c r="FO138" s="128" t="s">
        <v>1651</v>
      </c>
      <c r="FP138" s="128"/>
    </row>
    <row r="139" spans="1:172" ht="22" hidden="1" customHeight="1" x14ac:dyDescent="0.2">
      <c r="A139" s="13" t="s">
        <v>4</v>
      </c>
      <c r="B139" s="14" t="s">
        <v>5</v>
      </c>
      <c r="C139" s="9" t="s">
        <v>1046</v>
      </c>
      <c r="D139" s="14"/>
      <c r="E139" s="129" t="s">
        <v>159</v>
      </c>
      <c r="F139" s="15"/>
      <c r="G139" s="15" t="s">
        <v>634</v>
      </c>
      <c r="H139" s="91">
        <f t="shared" si="177"/>
        <v>1</v>
      </c>
      <c r="I139" s="95">
        <f t="shared" si="123"/>
        <v>2</v>
      </c>
      <c r="J139" s="91"/>
      <c r="K139" s="256">
        <f t="shared" si="137"/>
        <v>3</v>
      </c>
      <c r="L139" s="101" t="s">
        <v>640</v>
      </c>
      <c r="M139" s="99"/>
      <c r="N139" s="26">
        <v>380000</v>
      </c>
      <c r="O139" s="98" t="str">
        <f t="shared" si="136"/>
        <v>_x000D__x000D_</v>
      </c>
      <c r="P139" s="98" t="str">
        <f>CONCATENATE(V139,R139,X139)</f>
        <v>_x000D__x000D_</v>
      </c>
      <c r="Q139" s="55"/>
      <c r="R139" s="64" t="s">
        <v>918</v>
      </c>
      <c r="S139" s="425"/>
      <c r="T139" s="300" t="s">
        <v>834</v>
      </c>
      <c r="U139" s="300" t="s">
        <v>834</v>
      </c>
      <c r="V139" s="300" t="s">
        <v>834</v>
      </c>
      <c r="W139" s="258"/>
      <c r="X139" s="307" t="s">
        <v>834</v>
      </c>
      <c r="Y139" s="274"/>
      <c r="Z139" s="426"/>
      <c r="AA139" s="320">
        <f t="shared" si="130"/>
        <v>0</v>
      </c>
      <c r="AB139" s="320">
        <f t="shared" si="138"/>
        <v>0</v>
      </c>
      <c r="AC139" s="320">
        <f t="shared" si="139"/>
        <v>0</v>
      </c>
      <c r="AD139" s="320">
        <f t="shared" si="140"/>
        <v>0</v>
      </c>
      <c r="AE139" s="320">
        <f t="shared" si="172"/>
        <v>0</v>
      </c>
      <c r="AF139" s="320">
        <f t="shared" si="141"/>
        <v>0</v>
      </c>
      <c r="AG139" s="320">
        <f t="shared" si="129"/>
        <v>0</v>
      </c>
      <c r="AH139" s="427"/>
      <c r="AI139" s="320">
        <f t="shared" si="142"/>
        <v>0</v>
      </c>
      <c r="AJ139" s="320">
        <f t="shared" si="143"/>
        <v>0</v>
      </c>
      <c r="AK139" s="320">
        <f t="shared" si="144"/>
        <v>0</v>
      </c>
      <c r="AL139" s="320">
        <f t="shared" si="145"/>
        <v>0</v>
      </c>
      <c r="AM139" s="320">
        <f t="shared" si="146"/>
        <v>0</v>
      </c>
      <c r="AN139" s="320">
        <f t="shared" si="147"/>
        <v>0</v>
      </c>
      <c r="AO139" s="427"/>
      <c r="AP139" s="320">
        <f t="shared" si="173"/>
        <v>0</v>
      </c>
      <c r="AQ139" s="320">
        <f t="shared" si="148"/>
        <v>0</v>
      </c>
      <c r="AR139" s="320">
        <f t="shared" si="149"/>
        <v>0</v>
      </c>
      <c r="AS139" s="320">
        <f t="shared" si="150"/>
        <v>0</v>
      </c>
      <c r="AT139" s="320">
        <f t="shared" si="151"/>
        <v>0</v>
      </c>
      <c r="AU139" s="320">
        <f t="shared" si="152"/>
        <v>0</v>
      </c>
      <c r="AV139" s="427"/>
      <c r="AW139" s="320">
        <f t="shared" si="153"/>
        <v>0</v>
      </c>
      <c r="AX139" s="320">
        <f t="shared" si="154"/>
        <v>0</v>
      </c>
      <c r="AY139" s="320">
        <f t="shared" si="155"/>
        <v>0</v>
      </c>
      <c r="AZ139" s="320">
        <f t="shared" si="156"/>
        <v>0</v>
      </c>
      <c r="BA139" s="17"/>
      <c r="BB139" s="17" t="s">
        <v>834</v>
      </c>
      <c r="BC139" s="17"/>
      <c r="BD139" s="17"/>
      <c r="BE139" s="17"/>
      <c r="BF139" s="17"/>
      <c r="BG139" s="428">
        <f t="shared" si="131"/>
        <v>0</v>
      </c>
      <c r="BH139" s="17"/>
      <c r="BI139" s="17"/>
      <c r="BJ139" s="17"/>
      <c r="BK139" s="17"/>
      <c r="BL139" s="17"/>
      <c r="BM139" s="17"/>
      <c r="BN139" s="320">
        <f t="shared" si="132"/>
        <v>0</v>
      </c>
      <c r="BO139" s="320">
        <f t="shared" si="117"/>
        <v>0</v>
      </c>
      <c r="BP139" s="427"/>
      <c r="BQ139" s="427"/>
      <c r="BR139" s="320">
        <f t="shared" si="174"/>
        <v>0</v>
      </c>
      <c r="BS139" s="320">
        <f t="shared" si="174"/>
        <v>0</v>
      </c>
      <c r="BT139" s="427"/>
      <c r="BU139" s="320">
        <f t="shared" si="157"/>
        <v>0</v>
      </c>
      <c r="BV139" s="320">
        <f t="shared" si="158"/>
        <v>0</v>
      </c>
      <c r="BW139" s="320">
        <f t="shared" si="175"/>
        <v>0</v>
      </c>
      <c r="BX139" s="427"/>
      <c r="BY139" s="320">
        <f t="shared" si="133"/>
        <v>0</v>
      </c>
      <c r="BZ139" s="320">
        <f t="shared" si="159"/>
        <v>0</v>
      </c>
      <c r="CA139" s="320">
        <f t="shared" si="127"/>
        <v>0</v>
      </c>
      <c r="CB139" s="320">
        <f t="shared" si="134"/>
        <v>0</v>
      </c>
      <c r="CC139" s="427"/>
      <c r="CD139" s="320">
        <f t="shared" si="160"/>
        <v>0</v>
      </c>
      <c r="CE139" s="320">
        <f t="shared" si="161"/>
        <v>0</v>
      </c>
      <c r="CF139" s="320">
        <f t="shared" si="162"/>
        <v>0</v>
      </c>
      <c r="CG139" s="320">
        <f t="shared" si="163"/>
        <v>0</v>
      </c>
      <c r="CH139" s="427"/>
      <c r="CI139" s="427"/>
      <c r="CJ139" s="427"/>
      <c r="CK139" s="427"/>
      <c r="CL139" s="320">
        <f t="shared" si="178"/>
        <v>0</v>
      </c>
      <c r="CM139" s="320">
        <f t="shared" si="164"/>
        <v>0</v>
      </c>
      <c r="CN139" s="320">
        <f t="shared" si="165"/>
        <v>0</v>
      </c>
      <c r="CO139" s="320">
        <f t="shared" si="166"/>
        <v>0</v>
      </c>
      <c r="CP139" s="427"/>
      <c r="CQ139" s="427"/>
      <c r="CR139" s="320">
        <f t="shared" si="167"/>
        <v>0</v>
      </c>
      <c r="CS139" s="320">
        <f t="shared" si="176"/>
        <v>0</v>
      </c>
      <c r="CT139" s="320">
        <f t="shared" si="120"/>
        <v>0</v>
      </c>
      <c r="CU139" s="320">
        <f t="shared" si="121"/>
        <v>0</v>
      </c>
      <c r="CV139" s="427"/>
      <c r="CW139" s="17"/>
      <c r="CX139" s="320">
        <f t="shared" si="122"/>
        <v>0</v>
      </c>
      <c r="CY139" s="320">
        <f t="shared" si="168"/>
        <v>0</v>
      </c>
      <c r="CZ139" s="320">
        <f t="shared" si="169"/>
        <v>0</v>
      </c>
      <c r="DA139" s="17"/>
      <c r="DB139" s="17"/>
      <c r="DC139" s="17"/>
      <c r="DD139" s="31"/>
      <c r="DE139" s="323"/>
      <c r="DF139" s="323"/>
      <c r="DG139" s="323"/>
      <c r="DH139" s="323"/>
      <c r="DI139" s="323"/>
      <c r="DJ139" s="323"/>
      <c r="DK139" s="323"/>
      <c r="DL139" s="323"/>
      <c r="DM139" s="323"/>
      <c r="DN139" s="323"/>
      <c r="DO139" s="323"/>
      <c r="DP139" s="324"/>
      <c r="DQ139" s="288"/>
      <c r="DR139" s="244"/>
      <c r="DS139" s="429">
        <f t="shared" si="170"/>
        <v>0</v>
      </c>
      <c r="DT139" s="429">
        <f>SUM(BA139:BF139)/5</f>
        <v>0</v>
      </c>
      <c r="DU139" s="429"/>
      <c r="DV139" s="429"/>
      <c r="DW139" s="429"/>
      <c r="DX139" s="429"/>
      <c r="DY139" s="444"/>
      <c r="DZ139" s="134"/>
      <c r="EA139" s="134"/>
      <c r="EB139" s="134"/>
      <c r="EC139" s="134"/>
      <c r="ED139" s="123"/>
      <c r="EH139" s="46">
        <v>2</v>
      </c>
      <c r="EI139" s="45"/>
      <c r="EJ139" s="33" t="e">
        <f t="shared" si="171"/>
        <v>#VALUE!</v>
      </c>
      <c r="EK139" s="42"/>
      <c r="EL139" s="42"/>
      <c r="EM139" s="42"/>
      <c r="EN139" s="439"/>
      <c r="EO139" s="439"/>
      <c r="EP139" s="439"/>
      <c r="EQ139" s="47"/>
      <c r="ER139" s="440"/>
      <c r="ES139" s="431"/>
      <c r="ET139" s="431"/>
      <c r="EU139" s="431"/>
      <c r="EV139" s="447"/>
      <c r="EZ139" s="393" t="s">
        <v>159</v>
      </c>
      <c r="FA139" s="393" t="s">
        <v>159</v>
      </c>
      <c r="FB139" s="389">
        <v>2527</v>
      </c>
      <c r="FC139" s="389">
        <v>2116</v>
      </c>
      <c r="FD139" s="389">
        <v>1902</v>
      </c>
      <c r="FE139" s="389">
        <v>1687</v>
      </c>
      <c r="FF139" s="389">
        <v>1472</v>
      </c>
      <c r="FG139" s="390">
        <v>-2.0226843100189035E-2</v>
      </c>
      <c r="FH139" s="390">
        <v>-2.2607781282860149E-2</v>
      </c>
      <c r="FI139" s="390">
        <v>-2.5489033787788974E-2</v>
      </c>
      <c r="FJ139" s="391">
        <v>0.12744516893894478</v>
      </c>
      <c r="FK139" s="391" t="s">
        <v>1386</v>
      </c>
      <c r="FL139" s="31" t="s">
        <v>1379</v>
      </c>
      <c r="FN139" s="129" t="s">
        <v>1652</v>
      </c>
      <c r="FO139" s="129" t="s">
        <v>1653</v>
      </c>
      <c r="FP139" s="129"/>
    </row>
    <row r="140" spans="1:172" ht="22" hidden="1" customHeight="1" x14ac:dyDescent="0.2">
      <c r="A140" s="13" t="s">
        <v>24</v>
      </c>
      <c r="B140" s="14" t="s">
        <v>121</v>
      </c>
      <c r="C140" s="14"/>
      <c r="D140" s="14"/>
      <c r="E140" s="128" t="s">
        <v>160</v>
      </c>
      <c r="F140" s="15"/>
      <c r="G140" s="15" t="s">
        <v>634</v>
      </c>
      <c r="H140" s="91">
        <f t="shared" si="177"/>
        <v>1</v>
      </c>
      <c r="I140" s="95">
        <f t="shared" si="123"/>
        <v>0</v>
      </c>
      <c r="J140" s="92"/>
      <c r="K140" s="256">
        <f t="shared" si="137"/>
        <v>1</v>
      </c>
      <c r="L140" s="286">
        <v>0</v>
      </c>
      <c r="M140" s="100"/>
      <c r="N140" s="89"/>
      <c r="O140" s="98" t="str">
        <f t="shared" si="136"/>
        <v>_x000D__x000D_</v>
      </c>
      <c r="P140" s="98"/>
      <c r="Q140" s="55"/>
      <c r="R140" s="64" t="s">
        <v>918</v>
      </c>
      <c r="S140" s="425"/>
      <c r="T140" s="300" t="s">
        <v>834</v>
      </c>
      <c r="U140" s="300" t="s">
        <v>834</v>
      </c>
      <c r="V140" s="300" t="s">
        <v>834</v>
      </c>
      <c r="W140" s="258"/>
      <c r="X140" s="307" t="s">
        <v>834</v>
      </c>
      <c r="Y140" s="274"/>
      <c r="Z140" s="426"/>
      <c r="AA140" s="320">
        <f t="shared" si="130"/>
        <v>0</v>
      </c>
      <c r="AB140" s="320">
        <f t="shared" si="138"/>
        <v>0</v>
      </c>
      <c r="AC140" s="320">
        <f t="shared" si="139"/>
        <v>0</v>
      </c>
      <c r="AD140" s="320">
        <f t="shared" si="140"/>
        <v>0</v>
      </c>
      <c r="AE140" s="320">
        <f t="shared" si="172"/>
        <v>0</v>
      </c>
      <c r="AF140" s="320">
        <f t="shared" si="141"/>
        <v>0</v>
      </c>
      <c r="AG140" s="320">
        <f t="shared" si="129"/>
        <v>0</v>
      </c>
      <c r="AH140" s="427"/>
      <c r="AI140" s="320">
        <f t="shared" si="142"/>
        <v>0</v>
      </c>
      <c r="AJ140" s="320">
        <f t="shared" si="143"/>
        <v>0</v>
      </c>
      <c r="AK140" s="320">
        <f t="shared" si="144"/>
        <v>0</v>
      </c>
      <c r="AL140" s="320">
        <f t="shared" si="145"/>
        <v>0</v>
      </c>
      <c r="AM140" s="320">
        <f t="shared" si="146"/>
        <v>0</v>
      </c>
      <c r="AN140" s="320">
        <f t="shared" si="147"/>
        <v>0</v>
      </c>
      <c r="AO140" s="427"/>
      <c r="AP140" s="320">
        <f t="shared" si="173"/>
        <v>0</v>
      </c>
      <c r="AQ140" s="320">
        <f t="shared" si="148"/>
        <v>0</v>
      </c>
      <c r="AR140" s="320">
        <f t="shared" si="149"/>
        <v>0</v>
      </c>
      <c r="AS140" s="320">
        <f t="shared" si="150"/>
        <v>0</v>
      </c>
      <c r="AT140" s="320">
        <f t="shared" si="151"/>
        <v>0</v>
      </c>
      <c r="AU140" s="320">
        <f t="shared" si="152"/>
        <v>0</v>
      </c>
      <c r="AV140" s="427"/>
      <c r="AW140" s="320">
        <f t="shared" si="153"/>
        <v>0</v>
      </c>
      <c r="AX140" s="320">
        <f t="shared" si="154"/>
        <v>0</v>
      </c>
      <c r="AY140" s="320">
        <f t="shared" si="155"/>
        <v>0</v>
      </c>
      <c r="AZ140" s="320">
        <f t="shared" si="156"/>
        <v>0</v>
      </c>
      <c r="BA140" s="17"/>
      <c r="BB140" s="17" t="s">
        <v>834</v>
      </c>
      <c r="BC140" s="17"/>
      <c r="BD140" s="17"/>
      <c r="BE140" s="17"/>
      <c r="BF140" s="17"/>
      <c r="BG140" s="428">
        <f t="shared" si="131"/>
        <v>0</v>
      </c>
      <c r="BH140" s="17"/>
      <c r="BI140" s="17"/>
      <c r="BJ140" s="17"/>
      <c r="BK140" s="17"/>
      <c r="BL140" s="17"/>
      <c r="BM140" s="17"/>
      <c r="BN140" s="320">
        <f t="shared" si="132"/>
        <v>0</v>
      </c>
      <c r="BO140" s="320">
        <f t="shared" si="117"/>
        <v>0</v>
      </c>
      <c r="BP140" s="427"/>
      <c r="BQ140" s="427"/>
      <c r="BR140" s="320">
        <f t="shared" si="174"/>
        <v>0</v>
      </c>
      <c r="BS140" s="320">
        <f t="shared" si="174"/>
        <v>0</v>
      </c>
      <c r="BT140" s="427"/>
      <c r="BU140" s="320">
        <f t="shared" si="157"/>
        <v>0</v>
      </c>
      <c r="BV140" s="320">
        <f t="shared" si="158"/>
        <v>0</v>
      </c>
      <c r="BW140" s="320">
        <f t="shared" si="175"/>
        <v>0</v>
      </c>
      <c r="BX140" s="427"/>
      <c r="BY140" s="320">
        <f t="shared" si="133"/>
        <v>0</v>
      </c>
      <c r="BZ140" s="320">
        <f t="shared" si="159"/>
        <v>0</v>
      </c>
      <c r="CA140" s="320">
        <f t="shared" si="127"/>
        <v>0</v>
      </c>
      <c r="CB140" s="320">
        <f t="shared" si="134"/>
        <v>0</v>
      </c>
      <c r="CC140" s="427"/>
      <c r="CD140" s="320">
        <f t="shared" si="160"/>
        <v>0</v>
      </c>
      <c r="CE140" s="320">
        <f t="shared" si="161"/>
        <v>0</v>
      </c>
      <c r="CF140" s="320">
        <f t="shared" si="162"/>
        <v>0</v>
      </c>
      <c r="CG140" s="320">
        <f t="shared" si="163"/>
        <v>0</v>
      </c>
      <c r="CH140" s="427"/>
      <c r="CI140" s="427"/>
      <c r="CJ140" s="427"/>
      <c r="CK140" s="427"/>
      <c r="CL140" s="320">
        <f t="shared" si="178"/>
        <v>0</v>
      </c>
      <c r="CM140" s="320">
        <f t="shared" si="164"/>
        <v>0</v>
      </c>
      <c r="CN140" s="320">
        <f t="shared" si="165"/>
        <v>0</v>
      </c>
      <c r="CO140" s="320">
        <f t="shared" si="166"/>
        <v>0</v>
      </c>
      <c r="CP140" s="427"/>
      <c r="CQ140" s="427"/>
      <c r="CR140" s="320">
        <f t="shared" si="167"/>
        <v>0</v>
      </c>
      <c r="CS140" s="320">
        <f t="shared" si="176"/>
        <v>0</v>
      </c>
      <c r="CT140" s="320">
        <f t="shared" si="120"/>
        <v>0</v>
      </c>
      <c r="CU140" s="320">
        <f t="shared" si="121"/>
        <v>0</v>
      </c>
      <c r="CV140" s="427"/>
      <c r="CW140" s="17"/>
      <c r="CX140" s="320">
        <f t="shared" si="122"/>
        <v>0</v>
      </c>
      <c r="CY140" s="320">
        <f t="shared" si="168"/>
        <v>0</v>
      </c>
      <c r="CZ140" s="320">
        <f t="shared" si="169"/>
        <v>0</v>
      </c>
      <c r="DA140" s="17"/>
      <c r="DB140" s="17"/>
      <c r="DC140" s="17"/>
      <c r="DD140" s="31"/>
      <c r="DE140" s="321"/>
      <c r="DF140" s="321"/>
      <c r="DG140" s="321"/>
      <c r="DH140" s="321"/>
      <c r="DI140" s="321"/>
      <c r="DJ140" s="321"/>
      <c r="DK140" s="321"/>
      <c r="DL140" s="321"/>
      <c r="DM140" s="321"/>
      <c r="DN140" s="321"/>
      <c r="DO140" s="321"/>
      <c r="DP140" s="322"/>
      <c r="DQ140" s="288"/>
      <c r="DR140" s="241"/>
      <c r="DS140" s="429">
        <f t="shared" si="170"/>
        <v>0</v>
      </c>
      <c r="DT140" s="429">
        <f>SUM(BA140:BF140)/5</f>
        <v>0</v>
      </c>
      <c r="DU140" s="429"/>
      <c r="DV140" s="429"/>
      <c r="DW140" s="429"/>
      <c r="DX140" s="429"/>
      <c r="DY140" s="429"/>
      <c r="DZ140" s="134"/>
      <c r="EA140" s="134"/>
      <c r="EB140" s="134"/>
      <c r="EC140" s="134"/>
      <c r="ED140" s="123"/>
      <c r="EH140" s="44">
        <v>0</v>
      </c>
      <c r="EI140" s="45"/>
      <c r="EJ140" s="33" t="b">
        <f t="shared" si="171"/>
        <v>0</v>
      </c>
      <c r="EK140" s="42"/>
      <c r="EL140" s="42"/>
      <c r="EM140" s="42"/>
      <c r="EN140" s="439"/>
      <c r="EO140" s="439"/>
      <c r="EP140" s="439"/>
      <c r="EQ140" s="38"/>
      <c r="ER140" s="440">
        <v>1</v>
      </c>
      <c r="ES140" s="431"/>
      <c r="ET140" s="431" t="s">
        <v>673</v>
      </c>
      <c r="EU140" s="431"/>
      <c r="EV140" s="447"/>
      <c r="EZ140" s="393" t="s">
        <v>160</v>
      </c>
      <c r="FA140" s="393" t="s">
        <v>160</v>
      </c>
      <c r="FB140" s="389">
        <v>38.154000000000003</v>
      </c>
      <c r="FC140" s="389">
        <v>39.587000000000003</v>
      </c>
      <c r="FD140" s="389">
        <v>40.302999999999997</v>
      </c>
      <c r="FE140" s="389">
        <v>40.302999999999997</v>
      </c>
      <c r="FF140" s="389">
        <v>40.302999999999997</v>
      </c>
      <c r="FG140" s="390">
        <v>3.6173491297647907E-3</v>
      </c>
      <c r="FH140" s="390">
        <v>0</v>
      </c>
      <c r="FI140" s="390">
        <v>0</v>
      </c>
      <c r="FJ140" s="391">
        <v>0</v>
      </c>
      <c r="FK140" s="391" t="s">
        <v>1386</v>
      </c>
      <c r="FL140" s="31" t="s">
        <v>1387</v>
      </c>
      <c r="FN140" s="128" t="s">
        <v>1654</v>
      </c>
      <c r="FO140" s="128" t="s">
        <v>1655</v>
      </c>
      <c r="FP140" s="128"/>
    </row>
    <row r="141" spans="1:172" ht="22" hidden="1" customHeight="1" x14ac:dyDescent="0.2">
      <c r="A141" s="16" t="s">
        <v>16</v>
      </c>
      <c r="B141" s="19" t="s">
        <v>37</v>
      </c>
      <c r="C141" s="9" t="s">
        <v>1047</v>
      </c>
      <c r="D141" s="19"/>
      <c r="E141" s="128" t="s">
        <v>161</v>
      </c>
      <c r="F141" s="15" t="s">
        <v>637</v>
      </c>
      <c r="G141" s="15" t="s">
        <v>634</v>
      </c>
      <c r="H141" s="91">
        <f t="shared" si="177"/>
        <v>1</v>
      </c>
      <c r="I141" s="95">
        <f t="shared" si="123"/>
        <v>2</v>
      </c>
      <c r="J141" s="91"/>
      <c r="K141" s="256">
        <f t="shared" si="137"/>
        <v>3</v>
      </c>
      <c r="L141" s="101" t="s">
        <v>678</v>
      </c>
      <c r="M141" s="99">
        <v>1</v>
      </c>
      <c r="N141" s="89"/>
      <c r="O141" s="98" t="str">
        <f t="shared" si="136"/>
        <v>_x000D__x000D_</v>
      </c>
      <c r="P141" s="144" t="str">
        <f t="shared" ref="P141:P147" si="179">CONCATENATE(V141,R141,X141)</f>
        <v>N/A_x000D__x000D_</v>
      </c>
      <c r="Q141" s="55"/>
      <c r="R141" s="64" t="s">
        <v>918</v>
      </c>
      <c r="S141" s="425"/>
      <c r="T141" s="300" t="s">
        <v>925</v>
      </c>
      <c r="U141" s="300" t="s">
        <v>925</v>
      </c>
      <c r="V141" s="300" t="s">
        <v>388</v>
      </c>
      <c r="W141" s="258"/>
      <c r="X141" s="307"/>
      <c r="Y141" s="274"/>
      <c r="Z141" s="426">
        <v>0</v>
      </c>
      <c r="AA141" s="320">
        <f t="shared" si="130"/>
        <v>0</v>
      </c>
      <c r="AB141" s="320">
        <f t="shared" si="138"/>
        <v>0</v>
      </c>
      <c r="AC141" s="320">
        <f t="shared" si="139"/>
        <v>0</v>
      </c>
      <c r="AD141" s="320">
        <f t="shared" si="140"/>
        <v>0</v>
      </c>
      <c r="AE141" s="320">
        <f t="shared" si="172"/>
        <v>0</v>
      </c>
      <c r="AF141" s="320">
        <f t="shared" si="141"/>
        <v>0</v>
      </c>
      <c r="AG141" s="320">
        <f t="shared" si="129"/>
        <v>0</v>
      </c>
      <c r="AH141" s="427">
        <v>1</v>
      </c>
      <c r="AI141" s="320">
        <f t="shared" si="142"/>
        <v>1</v>
      </c>
      <c r="AJ141" s="320">
        <f t="shared" si="143"/>
        <v>0</v>
      </c>
      <c r="AK141" s="320">
        <f t="shared" si="144"/>
        <v>0</v>
      </c>
      <c r="AL141" s="320">
        <f t="shared" si="145"/>
        <v>0</v>
      </c>
      <c r="AM141" s="320">
        <f t="shared" si="146"/>
        <v>0</v>
      </c>
      <c r="AN141" s="320">
        <f t="shared" si="147"/>
        <v>0</v>
      </c>
      <c r="AO141" s="427">
        <v>0</v>
      </c>
      <c r="AP141" s="320">
        <f t="shared" si="173"/>
        <v>0</v>
      </c>
      <c r="AQ141" s="320">
        <f t="shared" si="148"/>
        <v>0</v>
      </c>
      <c r="AR141" s="320">
        <f t="shared" si="149"/>
        <v>0</v>
      </c>
      <c r="AS141" s="320">
        <f t="shared" si="150"/>
        <v>0</v>
      </c>
      <c r="AT141" s="320">
        <f t="shared" si="151"/>
        <v>0</v>
      </c>
      <c r="AU141" s="320">
        <f t="shared" si="152"/>
        <v>0</v>
      </c>
      <c r="AV141" s="427">
        <v>0</v>
      </c>
      <c r="AW141" s="320">
        <f t="shared" si="153"/>
        <v>0</v>
      </c>
      <c r="AX141" s="320">
        <f t="shared" si="154"/>
        <v>0</v>
      </c>
      <c r="AY141" s="320">
        <f t="shared" si="155"/>
        <v>0</v>
      </c>
      <c r="AZ141" s="320">
        <f t="shared" si="156"/>
        <v>0</v>
      </c>
      <c r="BA141" s="17">
        <v>0</v>
      </c>
      <c r="BB141" s="17" t="s">
        <v>1290</v>
      </c>
      <c r="BC141" s="17">
        <v>0</v>
      </c>
      <c r="BD141" s="17">
        <v>0</v>
      </c>
      <c r="BE141" s="17">
        <v>0</v>
      </c>
      <c r="BF141" s="17">
        <v>0</v>
      </c>
      <c r="BG141" s="428">
        <f t="shared" si="131"/>
        <v>0</v>
      </c>
      <c r="BH141" s="17"/>
      <c r="BI141" s="17">
        <v>0</v>
      </c>
      <c r="BJ141" s="17" t="s">
        <v>1139</v>
      </c>
      <c r="BK141" s="17"/>
      <c r="BL141" s="17">
        <v>1</v>
      </c>
      <c r="BM141" s="17" t="s">
        <v>1150</v>
      </c>
      <c r="BN141" s="320">
        <f t="shared" si="132"/>
        <v>1</v>
      </c>
      <c r="BO141" s="320">
        <f t="shared" si="117"/>
        <v>0</v>
      </c>
      <c r="BP141" s="427">
        <v>1</v>
      </c>
      <c r="BQ141" s="427" t="s">
        <v>1150</v>
      </c>
      <c r="BR141" s="320">
        <f t="shared" si="174"/>
        <v>1</v>
      </c>
      <c r="BS141" s="320">
        <f t="shared" si="174"/>
        <v>1</v>
      </c>
      <c r="BT141" s="427">
        <v>0</v>
      </c>
      <c r="BU141" s="320">
        <f t="shared" si="157"/>
        <v>0</v>
      </c>
      <c r="BV141" s="320">
        <f t="shared" si="158"/>
        <v>0</v>
      </c>
      <c r="BW141" s="320">
        <f t="shared" si="175"/>
        <v>0</v>
      </c>
      <c r="BX141" s="427">
        <v>1</v>
      </c>
      <c r="BY141" s="320">
        <f t="shared" si="133"/>
        <v>1</v>
      </c>
      <c r="BZ141" s="320">
        <f t="shared" si="159"/>
        <v>0</v>
      </c>
      <c r="CA141" s="320">
        <f t="shared" si="127"/>
        <v>0</v>
      </c>
      <c r="CB141" s="320">
        <f t="shared" si="134"/>
        <v>0</v>
      </c>
      <c r="CC141" s="427" t="s">
        <v>76</v>
      </c>
      <c r="CD141" s="320">
        <f t="shared" si="160"/>
        <v>1</v>
      </c>
      <c r="CE141" s="320">
        <f t="shared" si="161"/>
        <v>1</v>
      </c>
      <c r="CF141" s="320">
        <f t="shared" si="162"/>
        <v>0</v>
      </c>
      <c r="CG141" s="320">
        <f t="shared" si="163"/>
        <v>0</v>
      </c>
      <c r="CH141" s="427">
        <v>1</v>
      </c>
      <c r="CI141" s="427">
        <v>0</v>
      </c>
      <c r="CJ141" s="427">
        <v>0</v>
      </c>
      <c r="CK141" s="427">
        <v>0</v>
      </c>
      <c r="CL141" s="320">
        <f t="shared" si="178"/>
        <v>0</v>
      </c>
      <c r="CM141" s="320">
        <f t="shared" si="164"/>
        <v>0</v>
      </c>
      <c r="CN141" s="320">
        <f t="shared" si="165"/>
        <v>0</v>
      </c>
      <c r="CO141" s="320">
        <f t="shared" si="166"/>
        <v>0</v>
      </c>
      <c r="CP141" s="427">
        <v>1</v>
      </c>
      <c r="CQ141" s="427">
        <v>1</v>
      </c>
      <c r="CR141" s="320">
        <f t="shared" si="167"/>
        <v>1</v>
      </c>
      <c r="CS141" s="320">
        <f t="shared" si="176"/>
        <v>0</v>
      </c>
      <c r="CT141" s="320">
        <f t="shared" si="120"/>
        <v>0</v>
      </c>
      <c r="CU141" s="320">
        <f t="shared" si="121"/>
        <v>0</v>
      </c>
      <c r="CV141" s="427">
        <v>1</v>
      </c>
      <c r="CW141" s="17">
        <v>0</v>
      </c>
      <c r="CX141" s="320">
        <f t="shared" si="122"/>
        <v>0</v>
      </c>
      <c r="CY141" s="320">
        <f t="shared" si="168"/>
        <v>0</v>
      </c>
      <c r="CZ141" s="320">
        <f t="shared" si="169"/>
        <v>0</v>
      </c>
      <c r="DA141" s="17">
        <v>0</v>
      </c>
      <c r="DB141" s="17">
        <v>0</v>
      </c>
      <c r="DC141" s="17">
        <v>1</v>
      </c>
      <c r="DD141" s="31"/>
      <c r="DE141" s="338"/>
      <c r="DF141" s="338"/>
      <c r="DG141" s="338"/>
      <c r="DH141" s="321" t="s">
        <v>1300</v>
      </c>
      <c r="DI141" s="321"/>
      <c r="DJ141" s="321" t="s">
        <v>1301</v>
      </c>
      <c r="DK141" s="321" t="s">
        <v>959</v>
      </c>
      <c r="DL141" s="338"/>
      <c r="DM141" s="338"/>
      <c r="DN141" s="338"/>
      <c r="DO141" s="338"/>
      <c r="DP141" s="339"/>
      <c r="DQ141" s="293"/>
      <c r="DR141" s="240">
        <f>SUM(DS141:DX141)/6</f>
        <v>0.21557971014492752</v>
      </c>
      <c r="DS141" s="429">
        <f t="shared" si="170"/>
        <v>4.3478260869565216E-2</v>
      </c>
      <c r="DT141" s="429">
        <f>SUM(BA141:BE141,BG141)/5</f>
        <v>0</v>
      </c>
      <c r="DU141" s="429">
        <f>SUM(BI141,BO141,BS141,BU141:BW141)/6</f>
        <v>0.16666666666666666</v>
      </c>
      <c r="DV141" s="429">
        <f>SUM(BY141-CB141,CD141-CG141)/8</f>
        <v>0.25</v>
      </c>
      <c r="DW141" s="429">
        <f>SUM(CH141:CJ141,CL141:CO141,BN141,BR141)/9</f>
        <v>0.33333333333333331</v>
      </c>
      <c r="DX141" s="429">
        <f>SUM(CP141,CR141:CV141)/6</f>
        <v>0.5</v>
      </c>
      <c r="DY141" s="444"/>
      <c r="DZ141" s="140" t="s">
        <v>708</v>
      </c>
      <c r="EA141" s="140" t="s">
        <v>709</v>
      </c>
      <c r="EB141" s="139" t="s">
        <v>798</v>
      </c>
      <c r="EC141" s="139" t="s">
        <v>773</v>
      </c>
      <c r="ED141" s="123">
        <v>3</v>
      </c>
      <c r="EH141" s="205">
        <v>0</v>
      </c>
      <c r="EI141" s="199"/>
      <c r="EJ141" s="200" t="e">
        <f t="shared" si="171"/>
        <v>#VALUE!</v>
      </c>
      <c r="EK141" s="201"/>
      <c r="EL141" s="201"/>
      <c r="EM141" s="201"/>
      <c r="EN141" s="483"/>
      <c r="EO141" s="483"/>
      <c r="EP141" s="483"/>
      <c r="EQ141" s="206"/>
      <c r="ER141" s="484">
        <v>1</v>
      </c>
      <c r="ES141" s="485"/>
      <c r="ET141" s="485"/>
      <c r="EU141" s="485"/>
      <c r="EV141" s="486"/>
      <c r="EZ141" s="393" t="s">
        <v>161</v>
      </c>
      <c r="FA141" s="393" t="s">
        <v>161</v>
      </c>
      <c r="FB141" s="389">
        <v>5040</v>
      </c>
      <c r="FC141" s="389">
        <v>4867</v>
      </c>
      <c r="FD141" s="389">
        <v>4782</v>
      </c>
      <c r="FE141" s="389">
        <v>4699</v>
      </c>
      <c r="FF141" s="389">
        <v>4617</v>
      </c>
      <c r="FG141" s="390">
        <v>-3.4929114444216145E-3</v>
      </c>
      <c r="FH141" s="390">
        <v>-3.4713508992053532E-3</v>
      </c>
      <c r="FI141" s="390">
        <v>-3.4901042775058524E-3</v>
      </c>
      <c r="FJ141" s="391">
        <v>5.4023286164450275E-3</v>
      </c>
      <c r="FK141" s="391" t="s">
        <v>1386</v>
      </c>
      <c r="FL141" s="31" t="s">
        <v>1379</v>
      </c>
      <c r="FN141" s="128" t="s">
        <v>1656</v>
      </c>
      <c r="FO141" s="128" t="s">
        <v>1657</v>
      </c>
      <c r="FP141" s="128"/>
    </row>
    <row r="142" spans="1:172" ht="22" hidden="1" customHeight="1" x14ac:dyDescent="0.2">
      <c r="A142" s="13" t="s">
        <v>24</v>
      </c>
      <c r="B142" s="14" t="s">
        <v>90</v>
      </c>
      <c r="C142" s="14"/>
      <c r="D142" s="14" t="s">
        <v>1068</v>
      </c>
      <c r="E142" s="128" t="s">
        <v>162</v>
      </c>
      <c r="F142" s="15" t="s">
        <v>638</v>
      </c>
      <c r="G142" s="15" t="s">
        <v>634</v>
      </c>
      <c r="H142" s="91">
        <f t="shared" si="177"/>
        <v>1</v>
      </c>
      <c r="I142" s="95">
        <f t="shared" si="123"/>
        <v>0</v>
      </c>
      <c r="J142" s="91"/>
      <c r="K142" s="256">
        <f t="shared" si="137"/>
        <v>1</v>
      </c>
      <c r="L142" s="101">
        <v>0</v>
      </c>
      <c r="M142" s="25"/>
      <c r="N142" s="89"/>
      <c r="O142" s="98" t="str">
        <f t="shared" si="136"/>
        <v>_x000D__x000D_</v>
      </c>
      <c r="P142" s="144" t="str">
        <f t="shared" si="179"/>
        <v xml:space="preserve">The primary mitigation effort of PNG lies in reducing emissions from land use change and forestry. PNG can contribute to addressing the global mitigation gap by reducing deforestation and promoting_x000D__x000D_ </v>
      </c>
      <c r="Q142" s="55"/>
      <c r="R142" s="64" t="s">
        <v>918</v>
      </c>
      <c r="S142" s="425"/>
      <c r="T142" s="300" t="s">
        <v>925</v>
      </c>
      <c r="U142" s="300" t="s">
        <v>925</v>
      </c>
      <c r="V142" s="300" t="s">
        <v>1015</v>
      </c>
      <c r="W142" s="258" t="s">
        <v>1014</v>
      </c>
      <c r="X142" s="307" t="s">
        <v>924</v>
      </c>
      <c r="Y142" s="274"/>
      <c r="Z142" s="426" t="s">
        <v>230</v>
      </c>
      <c r="AA142" s="320">
        <f t="shared" si="130"/>
        <v>1</v>
      </c>
      <c r="AB142" s="320">
        <f t="shared" si="138"/>
        <v>1</v>
      </c>
      <c r="AC142" s="320">
        <f t="shared" si="139"/>
        <v>1</v>
      </c>
      <c r="AD142" s="320">
        <f t="shared" si="140"/>
        <v>1</v>
      </c>
      <c r="AE142" s="320">
        <f t="shared" si="172"/>
        <v>1</v>
      </c>
      <c r="AF142" s="320">
        <f t="shared" si="141"/>
        <v>1</v>
      </c>
      <c r="AG142" s="320">
        <f t="shared" si="129"/>
        <v>1</v>
      </c>
      <c r="AH142" s="427" t="s">
        <v>317</v>
      </c>
      <c r="AI142" s="320">
        <f t="shared" si="142"/>
        <v>1</v>
      </c>
      <c r="AJ142" s="320">
        <f t="shared" si="143"/>
        <v>0</v>
      </c>
      <c r="AK142" s="320">
        <f t="shared" si="144"/>
        <v>1</v>
      </c>
      <c r="AL142" s="320">
        <f t="shared" si="145"/>
        <v>0</v>
      </c>
      <c r="AM142" s="320">
        <f t="shared" si="146"/>
        <v>0</v>
      </c>
      <c r="AN142" s="320">
        <f t="shared" si="147"/>
        <v>0</v>
      </c>
      <c r="AO142" s="427">
        <v>1</v>
      </c>
      <c r="AP142" s="320">
        <f t="shared" si="173"/>
        <v>1</v>
      </c>
      <c r="AQ142" s="320">
        <f t="shared" si="148"/>
        <v>0</v>
      </c>
      <c r="AR142" s="320">
        <f t="shared" si="149"/>
        <v>0</v>
      </c>
      <c r="AS142" s="320">
        <f t="shared" si="150"/>
        <v>0</v>
      </c>
      <c r="AT142" s="320">
        <f t="shared" si="151"/>
        <v>0</v>
      </c>
      <c r="AU142" s="320">
        <f t="shared" si="152"/>
        <v>0</v>
      </c>
      <c r="AV142" s="427">
        <v>0</v>
      </c>
      <c r="AW142" s="320">
        <f t="shared" si="153"/>
        <v>0</v>
      </c>
      <c r="AX142" s="320">
        <f t="shared" si="154"/>
        <v>0</v>
      </c>
      <c r="AY142" s="320">
        <f t="shared" si="155"/>
        <v>0</v>
      </c>
      <c r="AZ142" s="320">
        <f t="shared" si="156"/>
        <v>0</v>
      </c>
      <c r="BA142" s="17">
        <v>0</v>
      </c>
      <c r="BB142" s="17" t="s">
        <v>834</v>
      </c>
      <c r="BC142" s="17">
        <v>0</v>
      </c>
      <c r="BD142" s="17">
        <v>0</v>
      </c>
      <c r="BE142" s="17">
        <v>0</v>
      </c>
      <c r="BF142" s="17">
        <v>0</v>
      </c>
      <c r="BG142" s="428">
        <f t="shared" si="131"/>
        <v>0</v>
      </c>
      <c r="BH142" s="17">
        <v>0</v>
      </c>
      <c r="BI142" s="17">
        <v>0</v>
      </c>
      <c r="BJ142" s="17" t="s">
        <v>834</v>
      </c>
      <c r="BK142" s="17"/>
      <c r="BL142" s="17">
        <v>0</v>
      </c>
      <c r="BM142" s="17" t="s">
        <v>834</v>
      </c>
      <c r="BN142" s="320">
        <f t="shared" si="132"/>
        <v>0</v>
      </c>
      <c r="BO142" s="320">
        <f t="shared" ref="BO142:BO146" si="180">IF(ISNUMBER(SEARCH("t",$BL142)),1,0)</f>
        <v>0</v>
      </c>
      <c r="BP142" s="427">
        <v>0</v>
      </c>
      <c r="BQ142" s="427" t="s">
        <v>834</v>
      </c>
      <c r="BR142" s="320">
        <f t="shared" si="174"/>
        <v>0</v>
      </c>
      <c r="BS142" s="320">
        <f>IF(ISNUMBER(SEARCH("t",$BP142)),1,0)</f>
        <v>0</v>
      </c>
      <c r="BT142" s="427">
        <v>0</v>
      </c>
      <c r="BU142" s="320">
        <f t="shared" si="157"/>
        <v>0</v>
      </c>
      <c r="BV142" s="320">
        <f t="shared" si="158"/>
        <v>0</v>
      </c>
      <c r="BW142" s="320">
        <f t="shared" si="175"/>
        <v>0</v>
      </c>
      <c r="BX142" s="427" t="s">
        <v>529</v>
      </c>
      <c r="BY142" s="320">
        <f t="shared" si="133"/>
        <v>1</v>
      </c>
      <c r="BZ142" s="320">
        <f t="shared" si="159"/>
        <v>1</v>
      </c>
      <c r="CA142" s="320">
        <f t="shared" si="127"/>
        <v>1</v>
      </c>
      <c r="CB142" s="320">
        <f t="shared" si="134"/>
        <v>0</v>
      </c>
      <c r="CC142" s="427">
        <v>0</v>
      </c>
      <c r="CD142" s="320">
        <f t="shared" si="160"/>
        <v>0</v>
      </c>
      <c r="CE142" s="320">
        <f t="shared" si="161"/>
        <v>0</v>
      </c>
      <c r="CF142" s="320">
        <f t="shared" si="162"/>
        <v>0</v>
      </c>
      <c r="CG142" s="320">
        <f t="shared" si="163"/>
        <v>0</v>
      </c>
      <c r="CH142" s="427">
        <v>0</v>
      </c>
      <c r="CI142" s="427">
        <v>0</v>
      </c>
      <c r="CJ142" s="427">
        <v>0</v>
      </c>
      <c r="CK142" s="427">
        <v>0</v>
      </c>
      <c r="CL142" s="320">
        <f t="shared" si="178"/>
        <v>0</v>
      </c>
      <c r="CM142" s="320">
        <f t="shared" si="164"/>
        <v>0</v>
      </c>
      <c r="CN142" s="320">
        <f t="shared" si="165"/>
        <v>0</v>
      </c>
      <c r="CO142" s="320">
        <f t="shared" si="166"/>
        <v>0</v>
      </c>
      <c r="CP142" s="427">
        <v>1</v>
      </c>
      <c r="CQ142" s="427" t="s">
        <v>76</v>
      </c>
      <c r="CR142" s="320">
        <f t="shared" si="167"/>
        <v>1</v>
      </c>
      <c r="CS142" s="320">
        <f t="shared" si="176"/>
        <v>0</v>
      </c>
      <c r="CT142" s="320">
        <f t="shared" si="120"/>
        <v>1</v>
      </c>
      <c r="CU142" s="320">
        <f t="shared" si="121"/>
        <v>0</v>
      </c>
      <c r="CV142" s="427">
        <v>0</v>
      </c>
      <c r="CW142" s="17">
        <v>0</v>
      </c>
      <c r="CX142" s="320">
        <f t="shared" si="122"/>
        <v>0</v>
      </c>
      <c r="CY142" s="320">
        <f t="shared" si="168"/>
        <v>0</v>
      </c>
      <c r="CZ142" s="320">
        <f t="shared" si="169"/>
        <v>0</v>
      </c>
      <c r="DA142" s="17"/>
      <c r="DB142" s="17"/>
      <c r="DC142" s="17">
        <v>1</v>
      </c>
      <c r="DD142" s="31"/>
      <c r="DE142" s="321" t="s">
        <v>387</v>
      </c>
      <c r="DF142" s="321"/>
      <c r="DG142" s="321"/>
      <c r="DH142" s="321" t="s">
        <v>387</v>
      </c>
      <c r="DI142" s="321"/>
      <c r="DJ142" s="321"/>
      <c r="DK142" s="321"/>
      <c r="DL142" s="321"/>
      <c r="DM142" s="321"/>
      <c r="DN142" s="321"/>
      <c r="DO142" s="321"/>
      <c r="DP142" s="322" t="s">
        <v>488</v>
      </c>
      <c r="DQ142" s="290"/>
      <c r="DR142" s="239">
        <f>SUM(DS142:DX142)/6</f>
        <v>0.17663043478260868</v>
      </c>
      <c r="DS142" s="429">
        <f t="shared" si="170"/>
        <v>0.43478260869565216</v>
      </c>
      <c r="DT142" s="429">
        <f>SUM(BA142:BE142,BG142)/5</f>
        <v>0</v>
      </c>
      <c r="DU142" s="429">
        <f>SUM(BI142,BO142,BS142,BU142:BW142)/6</f>
        <v>0</v>
      </c>
      <c r="DV142" s="429">
        <f>SUM(BY142-CB142,CD142-CG142)/8</f>
        <v>0.125</v>
      </c>
      <c r="DW142" s="429">
        <f>SUM(CH142:CJ142,CL142:CO142,BN142,BR142)/9</f>
        <v>0</v>
      </c>
      <c r="DX142" s="429">
        <f>SUM(CP142,CR142:CV142)/6</f>
        <v>0.5</v>
      </c>
      <c r="DY142" s="429"/>
      <c r="DZ142" s="137"/>
      <c r="EA142" s="135"/>
      <c r="EB142" s="135"/>
      <c r="EC142" s="135"/>
      <c r="ED142" s="124"/>
      <c r="EH142" s="46"/>
      <c r="EI142" s="45"/>
      <c r="EJ142" s="33" t="b">
        <f t="shared" si="171"/>
        <v>0</v>
      </c>
      <c r="EK142" s="42"/>
      <c r="EL142" s="42"/>
      <c r="EM142" s="42"/>
      <c r="EN142" s="439"/>
      <c r="EO142" s="439"/>
      <c r="EP142" s="439"/>
      <c r="EQ142" s="47"/>
      <c r="ER142" s="440"/>
      <c r="ES142" s="431"/>
      <c r="ET142" s="431"/>
      <c r="EU142" s="431"/>
      <c r="EV142" s="447"/>
      <c r="EZ142" s="393" t="s">
        <v>162</v>
      </c>
      <c r="FA142" s="393" t="s">
        <v>162</v>
      </c>
      <c r="FB142" s="389">
        <v>33627</v>
      </c>
      <c r="FC142" s="389">
        <v>33600</v>
      </c>
      <c r="FD142" s="389">
        <v>33586</v>
      </c>
      <c r="FE142" s="389">
        <v>33573</v>
      </c>
      <c r="FF142" s="389">
        <v>33559</v>
      </c>
      <c r="FG142" s="390">
        <v>-8.3333333333333344E-5</v>
      </c>
      <c r="FH142" s="390">
        <v>-7.7413207884237479E-5</v>
      </c>
      <c r="FI142" s="390">
        <v>-8.3400351472909785E-5</v>
      </c>
      <c r="FJ142" s="391">
        <v>7.7340078680441571E-2</v>
      </c>
      <c r="FK142" s="391" t="s">
        <v>1386</v>
      </c>
      <c r="FL142" s="31" t="s">
        <v>1379</v>
      </c>
      <c r="FN142" s="128" t="s">
        <v>1658</v>
      </c>
      <c r="FO142" s="128" t="s">
        <v>1659</v>
      </c>
      <c r="FP142" s="128"/>
    </row>
    <row r="143" spans="1:172" ht="22" hidden="1" customHeight="1" x14ac:dyDescent="0.2">
      <c r="A143" s="16" t="s">
        <v>16</v>
      </c>
      <c r="B143" s="19" t="s">
        <v>19</v>
      </c>
      <c r="C143" s="19"/>
      <c r="D143" s="19"/>
      <c r="E143" s="128" t="s">
        <v>163</v>
      </c>
      <c r="F143" s="15" t="s">
        <v>637</v>
      </c>
      <c r="G143" s="15" t="s">
        <v>634</v>
      </c>
      <c r="H143" s="91">
        <f t="shared" si="177"/>
        <v>1</v>
      </c>
      <c r="I143" s="95">
        <f t="shared" si="123"/>
        <v>0</v>
      </c>
      <c r="J143" s="91"/>
      <c r="K143" s="256">
        <f t="shared" si="137"/>
        <v>1</v>
      </c>
      <c r="L143" s="101">
        <v>0</v>
      </c>
      <c r="M143" s="99"/>
      <c r="N143" s="89"/>
      <c r="O143" s="98" t="str">
        <f t="shared" si="136"/>
        <v>_x000D__x000D_</v>
      </c>
      <c r="P143" s="144" t="str">
        <f t="shared" si="179"/>
        <v>N/A_x000D__x000D_</v>
      </c>
      <c r="Q143" s="55"/>
      <c r="R143" s="64" t="s">
        <v>918</v>
      </c>
      <c r="S143" s="425"/>
      <c r="T143" s="300" t="s">
        <v>925</v>
      </c>
      <c r="U143" s="300" t="s">
        <v>925</v>
      </c>
      <c r="V143" s="300" t="s">
        <v>388</v>
      </c>
      <c r="W143" s="258" t="s">
        <v>489</v>
      </c>
      <c r="X143" s="307"/>
      <c r="Y143" s="274"/>
      <c r="Z143" s="426">
        <v>0</v>
      </c>
      <c r="AA143" s="320">
        <f t="shared" si="130"/>
        <v>0</v>
      </c>
      <c r="AB143" s="320">
        <f t="shared" si="138"/>
        <v>0</v>
      </c>
      <c r="AC143" s="320">
        <f t="shared" si="139"/>
        <v>0</v>
      </c>
      <c r="AD143" s="320">
        <f t="shared" si="140"/>
        <v>0</v>
      </c>
      <c r="AE143" s="320">
        <f t="shared" si="172"/>
        <v>0</v>
      </c>
      <c r="AF143" s="320">
        <f t="shared" si="141"/>
        <v>0</v>
      </c>
      <c r="AG143" s="320">
        <f t="shared" si="129"/>
        <v>0</v>
      </c>
      <c r="AH143" s="427">
        <v>0</v>
      </c>
      <c r="AI143" s="320">
        <f t="shared" si="142"/>
        <v>0</v>
      </c>
      <c r="AJ143" s="320">
        <f t="shared" si="143"/>
        <v>0</v>
      </c>
      <c r="AK143" s="320">
        <f t="shared" si="144"/>
        <v>0</v>
      </c>
      <c r="AL143" s="320">
        <f t="shared" si="145"/>
        <v>0</v>
      </c>
      <c r="AM143" s="320">
        <f t="shared" si="146"/>
        <v>0</v>
      </c>
      <c r="AN143" s="320">
        <f t="shared" si="147"/>
        <v>0</v>
      </c>
      <c r="AO143" s="427">
        <v>0</v>
      </c>
      <c r="AP143" s="320">
        <f t="shared" si="173"/>
        <v>0</v>
      </c>
      <c r="AQ143" s="320">
        <f t="shared" si="148"/>
        <v>0</v>
      </c>
      <c r="AR143" s="320">
        <f t="shared" si="149"/>
        <v>0</v>
      </c>
      <c r="AS143" s="320">
        <f t="shared" si="150"/>
        <v>0</v>
      </c>
      <c r="AT143" s="320">
        <f t="shared" si="151"/>
        <v>0</v>
      </c>
      <c r="AU143" s="320">
        <f t="shared" si="152"/>
        <v>0</v>
      </c>
      <c r="AV143" s="427">
        <v>0</v>
      </c>
      <c r="AW143" s="320">
        <f t="shared" si="153"/>
        <v>0</v>
      </c>
      <c r="AX143" s="320">
        <f t="shared" si="154"/>
        <v>0</v>
      </c>
      <c r="AY143" s="320">
        <f t="shared" si="155"/>
        <v>0</v>
      </c>
      <c r="AZ143" s="320">
        <f t="shared" si="156"/>
        <v>0</v>
      </c>
      <c r="BA143" s="17">
        <v>0</v>
      </c>
      <c r="BB143" s="17" t="s">
        <v>834</v>
      </c>
      <c r="BC143" s="17">
        <v>0</v>
      </c>
      <c r="BD143" s="17">
        <v>0</v>
      </c>
      <c r="BE143" s="17">
        <v>0</v>
      </c>
      <c r="BF143" s="17">
        <v>0</v>
      </c>
      <c r="BG143" s="428">
        <f t="shared" si="131"/>
        <v>0</v>
      </c>
      <c r="BH143" s="17"/>
      <c r="BI143" s="17">
        <v>0</v>
      </c>
      <c r="BJ143" s="17" t="s">
        <v>834</v>
      </c>
      <c r="BK143" s="17"/>
      <c r="BL143" s="17">
        <v>0</v>
      </c>
      <c r="BM143" s="17" t="s">
        <v>834</v>
      </c>
      <c r="BN143" s="320">
        <f t="shared" si="132"/>
        <v>0</v>
      </c>
      <c r="BO143" s="320">
        <f t="shared" si="180"/>
        <v>0</v>
      </c>
      <c r="BP143" s="427">
        <v>0</v>
      </c>
      <c r="BQ143" s="427" t="s">
        <v>834</v>
      </c>
      <c r="BR143" s="320">
        <f t="shared" si="174"/>
        <v>0</v>
      </c>
      <c r="BS143" s="320">
        <f>IF(ISNUMBER(SEARCH("1",$BP143)),1,0)</f>
        <v>0</v>
      </c>
      <c r="BT143" s="427">
        <v>0</v>
      </c>
      <c r="BU143" s="320">
        <f t="shared" si="157"/>
        <v>0</v>
      </c>
      <c r="BV143" s="320">
        <f t="shared" si="158"/>
        <v>0</v>
      </c>
      <c r="BW143" s="320">
        <f t="shared" si="175"/>
        <v>0</v>
      </c>
      <c r="BX143" s="427">
        <v>0</v>
      </c>
      <c r="BY143" s="320">
        <f t="shared" si="133"/>
        <v>0</v>
      </c>
      <c r="BZ143" s="320">
        <f t="shared" si="159"/>
        <v>0</v>
      </c>
      <c r="CA143" s="320">
        <f t="shared" si="127"/>
        <v>0</v>
      </c>
      <c r="CB143" s="320">
        <f t="shared" si="134"/>
        <v>0</v>
      </c>
      <c r="CC143" s="427">
        <v>0</v>
      </c>
      <c r="CD143" s="320">
        <f t="shared" si="160"/>
        <v>0</v>
      </c>
      <c r="CE143" s="320">
        <f t="shared" si="161"/>
        <v>0</v>
      </c>
      <c r="CF143" s="320">
        <f t="shared" si="162"/>
        <v>0</v>
      </c>
      <c r="CG143" s="320">
        <f t="shared" si="163"/>
        <v>0</v>
      </c>
      <c r="CH143" s="427">
        <v>0</v>
      </c>
      <c r="CI143" s="427">
        <v>0</v>
      </c>
      <c r="CJ143" s="427">
        <v>0</v>
      </c>
      <c r="CK143" s="427">
        <v>0</v>
      </c>
      <c r="CL143" s="320">
        <f t="shared" si="178"/>
        <v>0</v>
      </c>
      <c r="CM143" s="320">
        <f t="shared" si="164"/>
        <v>0</v>
      </c>
      <c r="CN143" s="320">
        <f t="shared" si="165"/>
        <v>0</v>
      </c>
      <c r="CO143" s="320">
        <f t="shared" si="166"/>
        <v>0</v>
      </c>
      <c r="CP143" s="427">
        <v>0</v>
      </c>
      <c r="CQ143" s="427">
        <v>0</v>
      </c>
      <c r="CR143" s="320">
        <f t="shared" si="167"/>
        <v>0</v>
      </c>
      <c r="CS143" s="320">
        <f t="shared" si="176"/>
        <v>0</v>
      </c>
      <c r="CT143" s="320">
        <f t="shared" si="120"/>
        <v>0</v>
      </c>
      <c r="CU143" s="320">
        <f t="shared" si="121"/>
        <v>0</v>
      </c>
      <c r="CV143" s="427">
        <v>0</v>
      </c>
      <c r="CW143" s="17">
        <v>0</v>
      </c>
      <c r="CX143" s="320">
        <f t="shared" si="122"/>
        <v>0</v>
      </c>
      <c r="CY143" s="320">
        <f t="shared" si="168"/>
        <v>0</v>
      </c>
      <c r="CZ143" s="320">
        <f t="shared" si="169"/>
        <v>0</v>
      </c>
      <c r="DA143" s="17">
        <v>1</v>
      </c>
      <c r="DB143" s="17">
        <v>1</v>
      </c>
      <c r="DC143" s="17">
        <v>1</v>
      </c>
      <c r="DD143" s="31"/>
      <c r="DE143" s="331"/>
      <c r="DF143" s="323"/>
      <c r="DG143" s="323"/>
      <c r="DH143" s="323"/>
      <c r="DI143" s="323"/>
      <c r="DJ143" s="323"/>
      <c r="DK143" s="323"/>
      <c r="DL143" s="323"/>
      <c r="DM143" s="323"/>
      <c r="DN143" s="323"/>
      <c r="DO143" s="323"/>
      <c r="DP143" s="324" t="s">
        <v>489</v>
      </c>
      <c r="DQ143" s="289"/>
      <c r="DR143" s="239">
        <f>SUM(DS143:DX143)/6</f>
        <v>0</v>
      </c>
      <c r="DS143" s="429">
        <f t="shared" si="170"/>
        <v>0</v>
      </c>
      <c r="DT143" s="429">
        <f>SUM(BA143:BE143,BG143)/5</f>
        <v>0</v>
      </c>
      <c r="DU143" s="429">
        <f>SUM(BI143,BN143,BO143,BR143,BS143,BU143:BW143)/8</f>
        <v>0</v>
      </c>
      <c r="DV143" s="429">
        <f>SUM(BY143-CB143,CD143-CG143)/8</f>
        <v>0</v>
      </c>
      <c r="DW143" s="429">
        <f>SUM(CH143:CJ143,CL143:CO143)/7</f>
        <v>0</v>
      </c>
      <c r="DX143" s="429">
        <f>SUM(CP143,CR143:CV143)/6</f>
        <v>0</v>
      </c>
      <c r="DY143" s="429"/>
      <c r="DZ143" s="140" t="s">
        <v>710</v>
      </c>
      <c r="EA143" s="140" t="s">
        <v>711</v>
      </c>
      <c r="EB143" s="139" t="s">
        <v>799</v>
      </c>
      <c r="EC143" s="139" t="s">
        <v>780</v>
      </c>
      <c r="ED143" s="123">
        <v>1</v>
      </c>
      <c r="EH143" s="46">
        <v>0</v>
      </c>
      <c r="EI143" s="45"/>
      <c r="EJ143" s="33" t="b">
        <f t="shared" si="171"/>
        <v>0</v>
      </c>
      <c r="EK143" s="42"/>
      <c r="EL143" s="42"/>
      <c r="EM143" s="42"/>
      <c r="EN143" s="439"/>
      <c r="EO143" s="439"/>
      <c r="EP143" s="439"/>
      <c r="EQ143" s="47"/>
      <c r="ER143" s="440"/>
      <c r="ES143" s="431"/>
      <c r="ET143" s="431"/>
      <c r="EU143" s="431"/>
      <c r="EV143" s="447"/>
      <c r="EZ143" s="393" t="s">
        <v>163</v>
      </c>
      <c r="FA143" s="393" t="s">
        <v>163</v>
      </c>
      <c r="FB143" s="389">
        <v>21157</v>
      </c>
      <c r="FC143" s="389">
        <v>19368</v>
      </c>
      <c r="FD143" s="389">
        <v>18475</v>
      </c>
      <c r="FE143" s="389">
        <v>16950</v>
      </c>
      <c r="FF143" s="389">
        <v>15323</v>
      </c>
      <c r="FG143" s="390">
        <v>-9.2213961173068966E-3</v>
      </c>
      <c r="FH143" s="390">
        <v>-1.6508795669824085E-2</v>
      </c>
      <c r="FI143" s="390">
        <v>-1.9197640117994099E-2</v>
      </c>
      <c r="FJ143" s="391">
        <v>0.1628734464916099</v>
      </c>
      <c r="FK143" s="391" t="s">
        <v>1386</v>
      </c>
      <c r="FL143" s="31" t="s">
        <v>1379</v>
      </c>
      <c r="FN143" s="128" t="s">
        <v>1660</v>
      </c>
      <c r="FO143" s="128" t="s">
        <v>1661</v>
      </c>
      <c r="FP143" s="128"/>
    </row>
    <row r="144" spans="1:172" ht="22" hidden="1" customHeight="1" x14ac:dyDescent="0.2">
      <c r="A144" s="16" t="s">
        <v>16</v>
      </c>
      <c r="B144" s="19" t="s">
        <v>19</v>
      </c>
      <c r="C144" s="19"/>
      <c r="D144" s="19"/>
      <c r="E144" s="128" t="s">
        <v>164</v>
      </c>
      <c r="F144" s="15" t="s">
        <v>637</v>
      </c>
      <c r="G144" s="15" t="s">
        <v>635</v>
      </c>
      <c r="H144" s="91">
        <f t="shared" si="177"/>
        <v>0</v>
      </c>
      <c r="I144" s="95">
        <f t="shared" si="123"/>
        <v>2</v>
      </c>
      <c r="J144" s="91"/>
      <c r="K144" s="256">
        <f t="shared" si="137"/>
        <v>2</v>
      </c>
      <c r="L144" s="101" t="s">
        <v>679</v>
      </c>
      <c r="M144" s="99">
        <v>1</v>
      </c>
      <c r="N144" s="26">
        <v>3200000</v>
      </c>
      <c r="O144" s="98" t="str">
        <f t="shared" si="136"/>
        <v>_x000D__x000D_</v>
      </c>
      <c r="P144" s="144" t="str">
        <f t="shared" si="179"/>
        <v>N/A_x000D__x000D_Reduce the negative impact of climate change on the agrarian activity (agriculture, livestock and forestry)._x000D_Promote comprehensive land management with a landscape approach, oriented to increase forests resilience to CC, and reduce the vulnerability of local populations.</v>
      </c>
      <c r="Q144" s="55"/>
      <c r="R144" s="64" t="s">
        <v>918</v>
      </c>
      <c r="S144" s="425"/>
      <c r="T144" s="300" t="s">
        <v>848</v>
      </c>
      <c r="U144" s="300" t="s">
        <v>925</v>
      </c>
      <c r="V144" s="300" t="s">
        <v>388</v>
      </c>
      <c r="W144" s="258"/>
      <c r="X144" s="307" t="s">
        <v>1064</v>
      </c>
      <c r="Y144" s="297"/>
      <c r="Z144" s="426" t="s">
        <v>229</v>
      </c>
      <c r="AA144" s="320">
        <f t="shared" si="130"/>
        <v>0</v>
      </c>
      <c r="AB144" s="320">
        <f t="shared" si="138"/>
        <v>0</v>
      </c>
      <c r="AC144" s="320">
        <f t="shared" si="139"/>
        <v>0</v>
      </c>
      <c r="AD144" s="320">
        <f t="shared" si="140"/>
        <v>0</v>
      </c>
      <c r="AE144" s="320">
        <f t="shared" si="172"/>
        <v>0</v>
      </c>
      <c r="AF144" s="320">
        <f t="shared" si="141"/>
        <v>0</v>
      </c>
      <c r="AG144" s="320">
        <f t="shared" si="129"/>
        <v>1</v>
      </c>
      <c r="AH144" s="427" t="s">
        <v>221</v>
      </c>
      <c r="AI144" s="320">
        <f t="shared" si="142"/>
        <v>1</v>
      </c>
      <c r="AJ144" s="320">
        <f t="shared" si="143"/>
        <v>1</v>
      </c>
      <c r="AK144" s="320">
        <f t="shared" si="144"/>
        <v>0</v>
      </c>
      <c r="AL144" s="320">
        <f t="shared" si="145"/>
        <v>0</v>
      </c>
      <c r="AM144" s="320">
        <f t="shared" si="146"/>
        <v>0</v>
      </c>
      <c r="AN144" s="320">
        <f t="shared" si="147"/>
        <v>0</v>
      </c>
      <c r="AO144" s="427">
        <v>1</v>
      </c>
      <c r="AP144" s="320">
        <f t="shared" si="173"/>
        <v>1</v>
      </c>
      <c r="AQ144" s="320">
        <f t="shared" si="148"/>
        <v>0</v>
      </c>
      <c r="AR144" s="320">
        <f t="shared" si="149"/>
        <v>0</v>
      </c>
      <c r="AS144" s="320">
        <f t="shared" si="150"/>
        <v>0</v>
      </c>
      <c r="AT144" s="320">
        <f t="shared" si="151"/>
        <v>0</v>
      </c>
      <c r="AU144" s="320">
        <f t="shared" si="152"/>
        <v>0</v>
      </c>
      <c r="AV144" s="427">
        <v>1</v>
      </c>
      <c r="AW144" s="320">
        <f t="shared" si="153"/>
        <v>1</v>
      </c>
      <c r="AX144" s="320">
        <f t="shared" si="154"/>
        <v>0</v>
      </c>
      <c r="AY144" s="320">
        <f t="shared" si="155"/>
        <v>0</v>
      </c>
      <c r="AZ144" s="320">
        <f t="shared" si="156"/>
        <v>0</v>
      </c>
      <c r="BA144" s="17">
        <v>1</v>
      </c>
      <c r="BB144" s="17" t="s">
        <v>848</v>
      </c>
      <c r="BC144" s="17">
        <v>1</v>
      </c>
      <c r="BD144" s="17">
        <v>1</v>
      </c>
      <c r="BE144" s="17">
        <v>0</v>
      </c>
      <c r="BF144" s="17">
        <v>4</v>
      </c>
      <c r="BG144" s="428">
        <f t="shared" si="131"/>
        <v>1</v>
      </c>
      <c r="BH144" s="17"/>
      <c r="BI144" s="17">
        <v>0</v>
      </c>
      <c r="BJ144" s="17" t="s">
        <v>834</v>
      </c>
      <c r="BK144" s="17"/>
      <c r="BL144" s="17">
        <v>0</v>
      </c>
      <c r="BM144" s="17" t="s">
        <v>834</v>
      </c>
      <c r="BN144" s="320">
        <f t="shared" si="132"/>
        <v>0</v>
      </c>
      <c r="BO144" s="320">
        <f t="shared" si="180"/>
        <v>0</v>
      </c>
      <c r="BP144" s="427">
        <v>0</v>
      </c>
      <c r="BQ144" s="427" t="s">
        <v>834</v>
      </c>
      <c r="BR144" s="320">
        <f t="shared" si="174"/>
        <v>0</v>
      </c>
      <c r="BS144" s="320">
        <f>IF(ISNUMBER(SEARCH("1",$BP144)),1,0)</f>
        <v>0</v>
      </c>
      <c r="BT144" s="427">
        <v>0</v>
      </c>
      <c r="BU144" s="320">
        <f t="shared" si="157"/>
        <v>0</v>
      </c>
      <c r="BV144" s="320">
        <f t="shared" si="158"/>
        <v>0</v>
      </c>
      <c r="BW144" s="320">
        <f t="shared" si="175"/>
        <v>0</v>
      </c>
      <c r="BX144" s="427" t="s">
        <v>652</v>
      </c>
      <c r="BY144" s="320">
        <f t="shared" si="133"/>
        <v>1</v>
      </c>
      <c r="BZ144" s="320">
        <f t="shared" si="159"/>
        <v>1</v>
      </c>
      <c r="CA144" s="320">
        <f t="shared" si="127"/>
        <v>1</v>
      </c>
      <c r="CB144" s="320">
        <f t="shared" si="134"/>
        <v>0</v>
      </c>
      <c r="CC144" s="427">
        <v>0</v>
      </c>
      <c r="CD144" s="320">
        <f t="shared" si="160"/>
        <v>0</v>
      </c>
      <c r="CE144" s="320">
        <f t="shared" si="161"/>
        <v>0</v>
      </c>
      <c r="CF144" s="320">
        <f t="shared" si="162"/>
        <v>0</v>
      </c>
      <c r="CG144" s="320">
        <f t="shared" si="163"/>
        <v>0</v>
      </c>
      <c r="CH144" s="427">
        <v>1</v>
      </c>
      <c r="CI144" s="427">
        <v>0</v>
      </c>
      <c r="CJ144" s="427">
        <v>0</v>
      </c>
      <c r="CK144" s="427">
        <v>0</v>
      </c>
      <c r="CL144" s="320">
        <f t="shared" si="178"/>
        <v>0</v>
      </c>
      <c r="CM144" s="320">
        <f t="shared" si="164"/>
        <v>0</v>
      </c>
      <c r="CN144" s="320">
        <f t="shared" si="165"/>
        <v>0</v>
      </c>
      <c r="CO144" s="320">
        <f t="shared" si="166"/>
        <v>0</v>
      </c>
      <c r="CP144" s="427">
        <v>0</v>
      </c>
      <c r="CQ144" s="427">
        <v>1</v>
      </c>
      <c r="CR144" s="320">
        <f t="shared" si="167"/>
        <v>1</v>
      </c>
      <c r="CS144" s="320">
        <f t="shared" si="176"/>
        <v>0</v>
      </c>
      <c r="CT144" s="320">
        <f t="shared" si="120"/>
        <v>0</v>
      </c>
      <c r="CU144" s="320">
        <f t="shared" si="121"/>
        <v>0</v>
      </c>
      <c r="CV144" s="427">
        <v>1</v>
      </c>
      <c r="CW144" s="17">
        <v>0</v>
      </c>
      <c r="CX144" s="320">
        <f t="shared" si="122"/>
        <v>0</v>
      </c>
      <c r="CY144" s="320">
        <f t="shared" si="168"/>
        <v>0</v>
      </c>
      <c r="CZ144" s="320">
        <f t="shared" si="169"/>
        <v>0</v>
      </c>
      <c r="DA144" s="17">
        <v>1</v>
      </c>
      <c r="DB144" s="17">
        <v>1</v>
      </c>
      <c r="DC144" s="17">
        <v>1</v>
      </c>
      <c r="DD144" s="31"/>
      <c r="DE144" s="321" t="s">
        <v>387</v>
      </c>
      <c r="DF144" s="321" t="s">
        <v>388</v>
      </c>
      <c r="DG144" s="321" t="s">
        <v>388</v>
      </c>
      <c r="DH144" s="321" t="s">
        <v>387</v>
      </c>
      <c r="DI144" s="321"/>
      <c r="DJ144" s="321" t="s">
        <v>388</v>
      </c>
      <c r="DK144" s="321" t="s">
        <v>388</v>
      </c>
      <c r="DL144" s="321" t="s">
        <v>490</v>
      </c>
      <c r="DM144" s="321" t="s">
        <v>491</v>
      </c>
      <c r="DN144" s="325">
        <v>0.54</v>
      </c>
      <c r="DO144" s="321" t="s">
        <v>388</v>
      </c>
      <c r="DP144" s="322"/>
      <c r="DQ144" s="289"/>
      <c r="DR144" s="240">
        <f>SUM(DS144:DX144)/6</f>
        <v>0.26447262479871175</v>
      </c>
      <c r="DS144" s="429">
        <f t="shared" si="170"/>
        <v>0.21739130434782608</v>
      </c>
      <c r="DT144" s="429">
        <f>SUM(BA144:BE144,BG144)/5</f>
        <v>0.8</v>
      </c>
      <c r="DU144" s="429">
        <f>SUM(BI144,BO144,BS144,BU144:BW144)/6</f>
        <v>0</v>
      </c>
      <c r="DV144" s="429">
        <f>SUM(BY144-CB144,CD144-CG144)/8</f>
        <v>0.125</v>
      </c>
      <c r="DW144" s="429">
        <f>SUM(CH144:CJ144,CL144:CO144,BN144,BR144)/9</f>
        <v>0.1111111111111111</v>
      </c>
      <c r="DX144" s="429">
        <f>SUM(CP144,CR144:CV144)/6</f>
        <v>0.33333333333333331</v>
      </c>
      <c r="DY144" s="444"/>
      <c r="DZ144" s="140" t="s">
        <v>712</v>
      </c>
      <c r="EA144" s="140" t="s">
        <v>713</v>
      </c>
      <c r="EB144" s="139" t="s">
        <v>800</v>
      </c>
      <c r="EC144" s="139" t="s">
        <v>786</v>
      </c>
      <c r="ED144" s="123">
        <v>3</v>
      </c>
      <c r="EH144" s="46">
        <v>0</v>
      </c>
      <c r="EI144" s="45"/>
      <c r="EJ144" s="33" t="e">
        <f t="shared" si="171"/>
        <v>#VALUE!</v>
      </c>
      <c r="EK144" s="42"/>
      <c r="EL144" s="42"/>
      <c r="EM144" s="42"/>
      <c r="EN144" s="439"/>
      <c r="EO144" s="439"/>
      <c r="EP144" s="439"/>
      <c r="EQ144" s="47"/>
      <c r="ER144" s="440"/>
      <c r="ES144" s="431"/>
      <c r="ET144" s="431"/>
      <c r="EU144" s="431"/>
      <c r="EV144" s="447"/>
      <c r="EZ144" s="393" t="s">
        <v>164</v>
      </c>
      <c r="FA144" s="393" t="s">
        <v>164</v>
      </c>
      <c r="FB144" s="389">
        <v>77921</v>
      </c>
      <c r="FC144" s="389">
        <v>76147</v>
      </c>
      <c r="FD144" s="389">
        <v>75528</v>
      </c>
      <c r="FE144" s="389">
        <v>74811</v>
      </c>
      <c r="FF144" s="389">
        <v>73973</v>
      </c>
      <c r="FG144" s="390">
        <v>-1.6258027236791994E-3</v>
      </c>
      <c r="FH144" s="390">
        <v>-1.8986336193199873E-3</v>
      </c>
      <c r="FI144" s="390">
        <v>-2.2403122535456016E-3</v>
      </c>
      <c r="FJ144" s="391">
        <v>0.17996027814359969</v>
      </c>
      <c r="FK144" s="391" t="s">
        <v>1386</v>
      </c>
      <c r="FL144" s="31" t="s">
        <v>1379</v>
      </c>
      <c r="FN144" s="128" t="s">
        <v>1662</v>
      </c>
      <c r="FO144" s="128" t="s">
        <v>1663</v>
      </c>
      <c r="FP144" s="128"/>
    </row>
    <row r="145" spans="1:177" ht="22" hidden="1" customHeight="1" x14ac:dyDescent="0.2">
      <c r="A145" s="13" t="s">
        <v>4</v>
      </c>
      <c r="B145" s="14" t="s">
        <v>47</v>
      </c>
      <c r="C145" s="14"/>
      <c r="D145" s="14" t="s">
        <v>1068</v>
      </c>
      <c r="E145" s="128" t="s">
        <v>165</v>
      </c>
      <c r="F145" s="15" t="s">
        <v>638</v>
      </c>
      <c r="G145" s="15" t="s">
        <v>634</v>
      </c>
      <c r="H145" s="91">
        <f t="shared" si="177"/>
        <v>1</v>
      </c>
      <c r="I145" s="95">
        <f t="shared" si="123"/>
        <v>2</v>
      </c>
      <c r="J145" s="91"/>
      <c r="K145" s="256">
        <f t="shared" si="137"/>
        <v>3</v>
      </c>
      <c r="L145" s="101" t="s">
        <v>678</v>
      </c>
      <c r="M145" s="99">
        <v>1</v>
      </c>
      <c r="N145" s="89"/>
      <c r="O145" s="98" t="str">
        <f t="shared" si="136"/>
        <v>_x000D__x000D_</v>
      </c>
      <c r="P145" s="144" t="str">
        <f t="shared" si="179"/>
        <v>Forest conservation and sustainable management of its forests. The main forestry effort will be coordinated though the existing REDD+ initiative._x000D__x000D_The following priority measures, among others, would need such identified implementation support:_x000D_1. Institutional and system strengthening for downscaling climate change models, climate scenario-building, climate monitoring and observation;_x000D_2. Roll-out of science-based climate/disaster risk and vulnerability assessment process as the basis for mainstreaming climate and disaster risks reduction in development plans, programs and projects;_x000D_3. Development of climate and disaster-resilient ecosystem(s);_x000D_4. Enhancement of climate and disaster-resilience of key sectors – agriculture, water and health;</v>
      </c>
      <c r="Q145" s="55"/>
      <c r="R145" s="64" t="s">
        <v>918</v>
      </c>
      <c r="S145" s="425"/>
      <c r="T145" s="300" t="s">
        <v>925</v>
      </c>
      <c r="U145" s="300" t="s">
        <v>925</v>
      </c>
      <c r="V145" s="300" t="s">
        <v>1016</v>
      </c>
      <c r="W145" s="258"/>
      <c r="X145" s="307" t="s">
        <v>933</v>
      </c>
      <c r="Y145" s="297"/>
      <c r="Z145" s="426">
        <v>1</v>
      </c>
      <c r="AA145" s="320">
        <f t="shared" si="130"/>
        <v>1</v>
      </c>
      <c r="AB145" s="320">
        <f t="shared" si="138"/>
        <v>0</v>
      </c>
      <c r="AC145" s="320">
        <f t="shared" si="139"/>
        <v>0</v>
      </c>
      <c r="AD145" s="320">
        <f t="shared" si="140"/>
        <v>0</v>
      </c>
      <c r="AE145" s="320">
        <f t="shared" si="172"/>
        <v>0</v>
      </c>
      <c r="AF145" s="320">
        <f t="shared" si="141"/>
        <v>0</v>
      </c>
      <c r="AG145" s="320">
        <f t="shared" si="129"/>
        <v>0</v>
      </c>
      <c r="AH145" s="427">
        <v>1</v>
      </c>
      <c r="AI145" s="320">
        <f t="shared" si="142"/>
        <v>1</v>
      </c>
      <c r="AJ145" s="320">
        <f t="shared" si="143"/>
        <v>0</v>
      </c>
      <c r="AK145" s="320">
        <f t="shared" si="144"/>
        <v>0</v>
      </c>
      <c r="AL145" s="320">
        <f t="shared" si="145"/>
        <v>0</v>
      </c>
      <c r="AM145" s="320">
        <f t="shared" si="146"/>
        <v>0</v>
      </c>
      <c r="AN145" s="320">
        <f t="shared" si="147"/>
        <v>0</v>
      </c>
      <c r="AO145" s="427">
        <v>0</v>
      </c>
      <c r="AP145" s="320">
        <f t="shared" si="173"/>
        <v>0</v>
      </c>
      <c r="AQ145" s="320">
        <f t="shared" si="148"/>
        <v>0</v>
      </c>
      <c r="AR145" s="320">
        <f t="shared" si="149"/>
        <v>0</v>
      </c>
      <c r="AS145" s="320">
        <f t="shared" si="150"/>
        <v>0</v>
      </c>
      <c r="AT145" s="320">
        <f t="shared" si="151"/>
        <v>0</v>
      </c>
      <c r="AU145" s="320">
        <f t="shared" si="152"/>
        <v>0</v>
      </c>
      <c r="AV145" s="427">
        <v>0</v>
      </c>
      <c r="AW145" s="320">
        <f t="shared" si="153"/>
        <v>0</v>
      </c>
      <c r="AX145" s="320">
        <f t="shared" si="154"/>
        <v>0</v>
      </c>
      <c r="AY145" s="320">
        <f t="shared" si="155"/>
        <v>0</v>
      </c>
      <c r="AZ145" s="320">
        <f t="shared" si="156"/>
        <v>0</v>
      </c>
      <c r="BA145" s="17">
        <v>0</v>
      </c>
      <c r="BB145" s="17" t="s">
        <v>1275</v>
      </c>
      <c r="BC145" s="17">
        <v>0</v>
      </c>
      <c r="BD145" s="17">
        <v>1</v>
      </c>
      <c r="BE145" s="17">
        <v>0</v>
      </c>
      <c r="BF145" s="17">
        <v>0</v>
      </c>
      <c r="BG145" s="428">
        <f t="shared" si="131"/>
        <v>0</v>
      </c>
      <c r="BH145" s="17">
        <v>1</v>
      </c>
      <c r="BI145" s="17">
        <v>0</v>
      </c>
      <c r="BJ145" s="17" t="s">
        <v>1224</v>
      </c>
      <c r="BK145" s="17"/>
      <c r="BL145" s="17">
        <v>1</v>
      </c>
      <c r="BM145" s="17" t="s">
        <v>1225</v>
      </c>
      <c r="BN145" s="320">
        <f t="shared" si="132"/>
        <v>1</v>
      </c>
      <c r="BO145" s="320">
        <f t="shared" si="180"/>
        <v>0</v>
      </c>
      <c r="BP145" s="427">
        <v>0</v>
      </c>
      <c r="BQ145" s="427" t="s">
        <v>1226</v>
      </c>
      <c r="BR145" s="320">
        <f t="shared" si="174"/>
        <v>0</v>
      </c>
      <c r="BS145" s="320">
        <f>IF(ISNUMBER(SEARCH("t",$BP145)),1,0)</f>
        <v>0</v>
      </c>
      <c r="BT145" s="427">
        <v>0</v>
      </c>
      <c r="BU145" s="320">
        <f t="shared" si="157"/>
        <v>0</v>
      </c>
      <c r="BV145" s="320">
        <f t="shared" si="158"/>
        <v>0</v>
      </c>
      <c r="BW145" s="320">
        <f t="shared" si="175"/>
        <v>0</v>
      </c>
      <c r="BX145" s="427" t="s">
        <v>315</v>
      </c>
      <c r="BY145" s="320">
        <f t="shared" si="133"/>
        <v>1</v>
      </c>
      <c r="BZ145" s="320">
        <f t="shared" si="159"/>
        <v>0</v>
      </c>
      <c r="CA145" s="320">
        <f t="shared" si="127"/>
        <v>1</v>
      </c>
      <c r="CB145" s="320">
        <f t="shared" si="134"/>
        <v>0</v>
      </c>
      <c r="CC145" s="427">
        <v>0</v>
      </c>
      <c r="CD145" s="320">
        <f t="shared" si="160"/>
        <v>0</v>
      </c>
      <c r="CE145" s="320">
        <f t="shared" si="161"/>
        <v>0</v>
      </c>
      <c r="CF145" s="320">
        <f t="shared" si="162"/>
        <v>0</v>
      </c>
      <c r="CG145" s="320">
        <f t="shared" si="163"/>
        <v>0</v>
      </c>
      <c r="CH145" s="427">
        <v>1</v>
      </c>
      <c r="CI145" s="427">
        <v>0</v>
      </c>
      <c r="CJ145" s="427">
        <v>0</v>
      </c>
      <c r="CK145" s="427">
        <v>0</v>
      </c>
      <c r="CL145" s="320">
        <f t="shared" si="178"/>
        <v>0</v>
      </c>
      <c r="CM145" s="320">
        <f t="shared" si="164"/>
        <v>0</v>
      </c>
      <c r="CN145" s="320">
        <f t="shared" si="165"/>
        <v>0</v>
      </c>
      <c r="CO145" s="320">
        <f t="shared" si="166"/>
        <v>0</v>
      </c>
      <c r="CP145" s="427">
        <v>1</v>
      </c>
      <c r="CQ145" s="427" t="s">
        <v>224</v>
      </c>
      <c r="CR145" s="320">
        <f t="shared" si="167"/>
        <v>1</v>
      </c>
      <c r="CS145" s="320">
        <f t="shared" si="176"/>
        <v>0</v>
      </c>
      <c r="CT145" s="320">
        <f t="shared" si="120"/>
        <v>1</v>
      </c>
      <c r="CU145" s="320">
        <f t="shared" si="121"/>
        <v>1</v>
      </c>
      <c r="CV145" s="427">
        <v>1</v>
      </c>
      <c r="CW145" s="17">
        <v>4</v>
      </c>
      <c r="CX145" s="320">
        <f t="shared" si="122"/>
        <v>0</v>
      </c>
      <c r="CY145" s="320">
        <f t="shared" si="168"/>
        <v>0</v>
      </c>
      <c r="CZ145" s="320">
        <f t="shared" si="169"/>
        <v>0</v>
      </c>
      <c r="DA145" s="17">
        <v>0</v>
      </c>
      <c r="DB145" s="17">
        <v>0</v>
      </c>
      <c r="DC145" s="17">
        <v>1</v>
      </c>
      <c r="DD145" s="31"/>
      <c r="DE145" s="323" t="s">
        <v>424</v>
      </c>
      <c r="DF145" s="323" t="s">
        <v>492</v>
      </c>
      <c r="DG145" s="323" t="s">
        <v>493</v>
      </c>
      <c r="DH145" s="323"/>
      <c r="DI145" s="323"/>
      <c r="DJ145" s="323"/>
      <c r="DK145" s="323"/>
      <c r="DL145" s="323"/>
      <c r="DM145" s="323"/>
      <c r="DN145" s="323"/>
      <c r="DO145" s="323"/>
      <c r="DP145" s="324"/>
      <c r="DQ145" s="288"/>
      <c r="DR145" s="240">
        <f>SUM(DS145:DX145)/6</f>
        <v>0.24458534621578099</v>
      </c>
      <c r="DS145" s="429">
        <f t="shared" si="170"/>
        <v>8.6956521739130432E-2</v>
      </c>
      <c r="DT145" s="429">
        <f>SUM(BA145:BE145,BG145)/5</f>
        <v>0.2</v>
      </c>
      <c r="DU145" s="429">
        <f>SUM(BI145,BO145,BS145,BU145:BW145)/6</f>
        <v>0</v>
      </c>
      <c r="DV145" s="429">
        <f>SUM(BY145-CB145,CD145-CG145)/8</f>
        <v>0.125</v>
      </c>
      <c r="DW145" s="429">
        <f>SUM(CH145:CJ145,CL145:CO145,BN145,BR145)/9</f>
        <v>0.22222222222222221</v>
      </c>
      <c r="DX145" s="429">
        <f>SUM(CP145,CR145:CV145)/6</f>
        <v>0.83333333333333337</v>
      </c>
      <c r="DY145" s="444"/>
      <c r="DZ145" s="137" t="s">
        <v>731</v>
      </c>
      <c r="EA145" s="135"/>
      <c r="EB145" s="137" t="s">
        <v>743</v>
      </c>
      <c r="EC145" s="137" t="s">
        <v>757</v>
      </c>
      <c r="ED145" s="124">
        <v>1</v>
      </c>
      <c r="EH145" s="207"/>
      <c r="EI145" s="192"/>
      <c r="EJ145" s="193" t="e">
        <f t="shared" si="171"/>
        <v>#VALUE!</v>
      </c>
      <c r="EK145" s="194"/>
      <c r="EL145" s="194"/>
      <c r="EM145" s="194"/>
      <c r="EN145" s="479"/>
      <c r="EO145" s="479"/>
      <c r="EP145" s="479"/>
      <c r="EQ145" s="208"/>
      <c r="ER145" s="233"/>
      <c r="ES145" s="234"/>
      <c r="ET145" s="488"/>
      <c r="EU145" s="235"/>
      <c r="EV145" s="209"/>
      <c r="EZ145" s="393" t="s">
        <v>165</v>
      </c>
      <c r="FA145" s="393" t="s">
        <v>165</v>
      </c>
      <c r="FB145" s="389">
        <v>6555</v>
      </c>
      <c r="FC145" s="389">
        <v>7027</v>
      </c>
      <c r="FD145" s="389">
        <v>7074</v>
      </c>
      <c r="FE145" s="389">
        <v>6840</v>
      </c>
      <c r="FF145" s="389">
        <v>8040</v>
      </c>
      <c r="FG145" s="390">
        <v>1.3376974526825103E-3</v>
      </c>
      <c r="FH145" s="390">
        <v>-6.6157760814249357E-3</v>
      </c>
      <c r="FI145" s="390">
        <v>3.5087719298245612E-2</v>
      </c>
      <c r="FJ145" s="391">
        <v>-6.3036437246963564</v>
      </c>
      <c r="FK145" s="391" t="s">
        <v>1386</v>
      </c>
      <c r="FL145" s="31" t="s">
        <v>1393</v>
      </c>
      <c r="FN145" s="128" t="s">
        <v>1664</v>
      </c>
      <c r="FO145" s="128" t="s">
        <v>1665</v>
      </c>
      <c r="FP145" s="128"/>
    </row>
    <row r="146" spans="1:177" ht="22" hidden="1" customHeight="1" x14ac:dyDescent="0.2">
      <c r="A146" s="13" t="s">
        <v>7</v>
      </c>
      <c r="B146" s="14" t="s">
        <v>34</v>
      </c>
      <c r="C146" s="169" t="s">
        <v>1048</v>
      </c>
      <c r="D146" s="14"/>
      <c r="E146" s="128" t="s">
        <v>166</v>
      </c>
      <c r="F146" s="15"/>
      <c r="G146" s="15" t="s">
        <v>634</v>
      </c>
      <c r="H146" s="91">
        <f t="shared" si="177"/>
        <v>1</v>
      </c>
      <c r="I146" s="95">
        <f t="shared" si="123"/>
        <v>0</v>
      </c>
      <c r="J146" s="91"/>
      <c r="K146" s="256">
        <f t="shared" si="137"/>
        <v>1</v>
      </c>
      <c r="L146" s="101">
        <v>0</v>
      </c>
      <c r="M146" s="99"/>
      <c r="N146" s="89"/>
      <c r="O146" s="98" t="str">
        <f t="shared" si="136"/>
        <v>_x000D__x000D_</v>
      </c>
      <c r="P146" s="98" t="str">
        <f t="shared" si="179"/>
        <v>_x000D__x000D_</v>
      </c>
      <c r="Q146" s="55"/>
      <c r="R146" s="64" t="s">
        <v>918</v>
      </c>
      <c r="S146" s="425"/>
      <c r="T146" s="300" t="s">
        <v>834</v>
      </c>
      <c r="U146" s="300" t="s">
        <v>834</v>
      </c>
      <c r="V146" s="300" t="s">
        <v>834</v>
      </c>
      <c r="W146" s="258"/>
      <c r="X146" s="307" t="s">
        <v>834</v>
      </c>
      <c r="Y146" s="274"/>
      <c r="Z146" s="426"/>
      <c r="AA146" s="320">
        <f t="shared" si="130"/>
        <v>0</v>
      </c>
      <c r="AB146" s="320">
        <f t="shared" si="138"/>
        <v>0</v>
      </c>
      <c r="AC146" s="320">
        <f t="shared" si="139"/>
        <v>0</v>
      </c>
      <c r="AD146" s="320">
        <f t="shared" si="140"/>
        <v>0</v>
      </c>
      <c r="AE146" s="320">
        <f t="shared" si="172"/>
        <v>0</v>
      </c>
      <c r="AF146" s="320">
        <f t="shared" si="141"/>
        <v>0</v>
      </c>
      <c r="AG146" s="320">
        <f t="shared" si="129"/>
        <v>0</v>
      </c>
      <c r="AH146" s="427"/>
      <c r="AI146" s="320">
        <f t="shared" si="142"/>
        <v>0</v>
      </c>
      <c r="AJ146" s="320">
        <f t="shared" si="143"/>
        <v>0</v>
      </c>
      <c r="AK146" s="320">
        <f t="shared" si="144"/>
        <v>0</v>
      </c>
      <c r="AL146" s="320">
        <f t="shared" si="145"/>
        <v>0</v>
      </c>
      <c r="AM146" s="320">
        <f t="shared" si="146"/>
        <v>0</v>
      </c>
      <c r="AN146" s="320">
        <f t="shared" si="147"/>
        <v>0</v>
      </c>
      <c r="AO146" s="427"/>
      <c r="AP146" s="320">
        <f t="shared" si="173"/>
        <v>0</v>
      </c>
      <c r="AQ146" s="320">
        <f t="shared" si="148"/>
        <v>0</v>
      </c>
      <c r="AR146" s="320">
        <f t="shared" si="149"/>
        <v>0</v>
      </c>
      <c r="AS146" s="320">
        <f t="shared" si="150"/>
        <v>0</v>
      </c>
      <c r="AT146" s="320">
        <f t="shared" si="151"/>
        <v>0</v>
      </c>
      <c r="AU146" s="320">
        <f t="shared" si="152"/>
        <v>0</v>
      </c>
      <c r="AV146" s="427"/>
      <c r="AW146" s="320">
        <f t="shared" si="153"/>
        <v>0</v>
      </c>
      <c r="AX146" s="320">
        <f t="shared" si="154"/>
        <v>0</v>
      </c>
      <c r="AY146" s="320">
        <f t="shared" si="155"/>
        <v>0</v>
      </c>
      <c r="AZ146" s="320">
        <f t="shared" si="156"/>
        <v>0</v>
      </c>
      <c r="BA146" s="17"/>
      <c r="BB146" s="17" t="s">
        <v>834</v>
      </c>
      <c r="BC146" s="17"/>
      <c r="BD146" s="17"/>
      <c r="BE146" s="17"/>
      <c r="BF146" s="17"/>
      <c r="BG146" s="428">
        <f t="shared" si="131"/>
        <v>0</v>
      </c>
      <c r="BH146" s="17"/>
      <c r="BI146" s="17"/>
      <c r="BJ146" s="17"/>
      <c r="BK146" s="17"/>
      <c r="BL146" s="17"/>
      <c r="BM146" s="17"/>
      <c r="BN146" s="320">
        <f t="shared" si="132"/>
        <v>0</v>
      </c>
      <c r="BO146" s="320">
        <f t="shared" si="180"/>
        <v>0</v>
      </c>
      <c r="BP146" s="427"/>
      <c r="BQ146" s="427"/>
      <c r="BR146" s="320">
        <f t="shared" si="174"/>
        <v>0</v>
      </c>
      <c r="BS146" s="320">
        <f>IF(ISNUMBER(SEARCH("1",$BP146)),1,0)</f>
        <v>0</v>
      </c>
      <c r="BT146" s="427"/>
      <c r="BU146" s="320">
        <f t="shared" si="157"/>
        <v>0</v>
      </c>
      <c r="BV146" s="320">
        <f t="shared" si="158"/>
        <v>0</v>
      </c>
      <c r="BW146" s="320">
        <f t="shared" si="175"/>
        <v>0</v>
      </c>
      <c r="BX146" s="427"/>
      <c r="BY146" s="320">
        <f t="shared" si="133"/>
        <v>0</v>
      </c>
      <c r="BZ146" s="320">
        <f t="shared" si="159"/>
        <v>0</v>
      </c>
      <c r="CA146" s="320">
        <f t="shared" si="127"/>
        <v>0</v>
      </c>
      <c r="CB146" s="320">
        <f t="shared" si="134"/>
        <v>0</v>
      </c>
      <c r="CC146" s="427"/>
      <c r="CD146" s="320">
        <f t="shared" si="160"/>
        <v>0</v>
      </c>
      <c r="CE146" s="320">
        <f t="shared" si="161"/>
        <v>0</v>
      </c>
      <c r="CF146" s="320">
        <f t="shared" si="162"/>
        <v>0</v>
      </c>
      <c r="CG146" s="320">
        <f t="shared" si="163"/>
        <v>0</v>
      </c>
      <c r="CH146" s="427"/>
      <c r="CI146" s="427"/>
      <c r="CJ146" s="427"/>
      <c r="CK146" s="427"/>
      <c r="CL146" s="320">
        <f t="shared" si="178"/>
        <v>0</v>
      </c>
      <c r="CM146" s="320">
        <f t="shared" si="164"/>
        <v>0</v>
      </c>
      <c r="CN146" s="320">
        <f t="shared" si="165"/>
        <v>0</v>
      </c>
      <c r="CO146" s="320">
        <f t="shared" si="166"/>
        <v>0</v>
      </c>
      <c r="CP146" s="427"/>
      <c r="CQ146" s="427"/>
      <c r="CR146" s="320">
        <f t="shared" si="167"/>
        <v>0</v>
      </c>
      <c r="CS146" s="320">
        <f t="shared" si="176"/>
        <v>0</v>
      </c>
      <c r="CT146" s="320">
        <f t="shared" si="120"/>
        <v>0</v>
      </c>
      <c r="CU146" s="320">
        <f t="shared" si="121"/>
        <v>0</v>
      </c>
      <c r="CV146" s="427"/>
      <c r="CW146" s="17"/>
      <c r="CX146" s="320">
        <f t="shared" si="122"/>
        <v>0</v>
      </c>
      <c r="CY146" s="320">
        <f t="shared" si="168"/>
        <v>0</v>
      </c>
      <c r="CZ146" s="320">
        <f t="shared" si="169"/>
        <v>0</v>
      </c>
      <c r="DA146" s="17"/>
      <c r="DB146" s="17"/>
      <c r="DC146" s="17"/>
      <c r="DD146" s="31"/>
      <c r="DE146" s="321"/>
      <c r="DF146" s="321"/>
      <c r="DG146" s="321"/>
      <c r="DH146" s="321"/>
      <c r="DI146" s="321"/>
      <c r="DJ146" s="321"/>
      <c r="DK146" s="321"/>
      <c r="DL146" s="321"/>
      <c r="DM146" s="321"/>
      <c r="DN146" s="321"/>
      <c r="DO146" s="321"/>
      <c r="DP146" s="322"/>
      <c r="DQ146" s="288"/>
      <c r="DR146" s="241"/>
      <c r="DS146" s="429">
        <f t="shared" si="170"/>
        <v>0</v>
      </c>
      <c r="DT146" s="429"/>
      <c r="DU146" s="429"/>
      <c r="DV146" s="429"/>
      <c r="DW146" s="429"/>
      <c r="DX146" s="429"/>
      <c r="DY146" s="429"/>
      <c r="DZ146" s="134"/>
      <c r="EA146" s="134"/>
      <c r="EB146" s="134"/>
      <c r="EC146" s="134"/>
      <c r="ED146" s="123"/>
      <c r="EH146" s="170"/>
      <c r="EI146" s="210"/>
      <c r="EJ146" s="165" t="b">
        <f t="shared" si="171"/>
        <v>0</v>
      </c>
      <c r="EK146" s="211"/>
      <c r="EL146" s="211"/>
      <c r="EM146" s="211"/>
      <c r="EN146" s="489"/>
      <c r="EO146" s="489"/>
      <c r="EP146" s="489"/>
      <c r="EQ146" s="212"/>
      <c r="ER146" s="167"/>
      <c r="ES146" s="231"/>
      <c r="ET146" s="490"/>
      <c r="EU146" s="228"/>
      <c r="EV146" s="213"/>
      <c r="EZ146" s="393" t="s">
        <v>166</v>
      </c>
      <c r="FA146" s="393" t="s">
        <v>166</v>
      </c>
      <c r="FB146" s="389">
        <v>8881</v>
      </c>
      <c r="FC146" s="389">
        <v>9059</v>
      </c>
      <c r="FD146" s="389">
        <v>9200</v>
      </c>
      <c r="FE146" s="389">
        <v>9329</v>
      </c>
      <c r="FF146" s="389">
        <v>9435</v>
      </c>
      <c r="FG146" s="390">
        <v>3.1129263715641902E-3</v>
      </c>
      <c r="FH146" s="390">
        <v>2.8043478260869567E-3</v>
      </c>
      <c r="FI146" s="390">
        <v>2.2724836531246651E-3</v>
      </c>
      <c r="FJ146" s="391" t="s">
        <v>1389</v>
      </c>
      <c r="FK146" s="391">
        <v>-0.18965699190903421</v>
      </c>
      <c r="FL146" s="31" t="s">
        <v>1394</v>
      </c>
      <c r="FN146" s="128" t="s">
        <v>1666</v>
      </c>
      <c r="FO146" s="128" t="s">
        <v>1667</v>
      </c>
      <c r="FP146" s="128"/>
    </row>
    <row r="147" spans="1:177" ht="22" customHeight="1" x14ac:dyDescent="0.2">
      <c r="A147" s="13" t="s">
        <v>7</v>
      </c>
      <c r="B147" s="14" t="s">
        <v>8</v>
      </c>
      <c r="C147" s="14"/>
      <c r="D147" s="14"/>
      <c r="E147" s="215" t="s">
        <v>1311</v>
      </c>
      <c r="F147" s="15" t="s">
        <v>1355</v>
      </c>
      <c r="G147" s="15" t="s">
        <v>634</v>
      </c>
      <c r="H147" s="91">
        <v>1</v>
      </c>
      <c r="I147" s="95">
        <f t="shared" si="123"/>
        <v>0</v>
      </c>
      <c r="J147" s="91"/>
      <c r="K147" s="256">
        <f t="shared" si="137"/>
        <v>1</v>
      </c>
      <c r="L147" s="257">
        <v>0</v>
      </c>
      <c r="M147" s="154"/>
      <c r="N147" s="155">
        <v>0</v>
      </c>
      <c r="O147" s="158" t="str">
        <f t="shared" si="136"/>
        <v>N/A or not found_x000D__x000D_</v>
      </c>
      <c r="P147" s="98" t="str">
        <f t="shared" si="179"/>
        <v>N/A or not found_x000D__x000D_</v>
      </c>
      <c r="Q147" s="360" t="s">
        <v>925</v>
      </c>
      <c r="R147" s="64" t="s">
        <v>918</v>
      </c>
      <c r="S147" s="432"/>
      <c r="T147" s="300" t="s">
        <v>925</v>
      </c>
      <c r="U147" s="300" t="s">
        <v>925</v>
      </c>
      <c r="V147" s="300" t="s">
        <v>925</v>
      </c>
      <c r="W147" s="258"/>
      <c r="X147" s="306" t="s">
        <v>834</v>
      </c>
      <c r="Y147" s="295"/>
      <c r="Z147" s="426">
        <v>1</v>
      </c>
      <c r="AA147" s="320">
        <v>0</v>
      </c>
      <c r="AB147" s="320">
        <v>0</v>
      </c>
      <c r="AC147" s="320">
        <v>0</v>
      </c>
      <c r="AD147" s="320">
        <v>0</v>
      </c>
      <c r="AE147" s="320">
        <v>0</v>
      </c>
      <c r="AF147" s="320">
        <v>0</v>
      </c>
      <c r="AG147" s="320">
        <v>0</v>
      </c>
      <c r="AH147" s="427">
        <v>0</v>
      </c>
      <c r="AI147" s="320">
        <v>0</v>
      </c>
      <c r="AJ147" s="320">
        <v>0</v>
      </c>
      <c r="AK147" s="320">
        <v>0</v>
      </c>
      <c r="AL147" s="320">
        <v>0</v>
      </c>
      <c r="AM147" s="320">
        <v>0</v>
      </c>
      <c r="AN147" s="320">
        <v>0</v>
      </c>
      <c r="AO147" s="427">
        <v>0</v>
      </c>
      <c r="AP147" s="320">
        <f t="shared" si="173"/>
        <v>0</v>
      </c>
      <c r="AQ147" s="320">
        <f t="shared" si="148"/>
        <v>0</v>
      </c>
      <c r="AR147" s="320">
        <f t="shared" si="149"/>
        <v>0</v>
      </c>
      <c r="AS147" s="320">
        <f t="shared" si="150"/>
        <v>0</v>
      </c>
      <c r="AT147" s="320">
        <f t="shared" si="151"/>
        <v>0</v>
      </c>
      <c r="AU147" s="320">
        <f t="shared" si="152"/>
        <v>0</v>
      </c>
      <c r="AV147" s="427" t="s">
        <v>1073</v>
      </c>
      <c r="AW147" s="320">
        <f t="shared" si="153"/>
        <v>1</v>
      </c>
      <c r="AX147" s="320">
        <f t="shared" si="154"/>
        <v>1</v>
      </c>
      <c r="AY147" s="320">
        <f t="shared" si="155"/>
        <v>1</v>
      </c>
      <c r="AZ147" s="320">
        <f t="shared" si="156"/>
        <v>1</v>
      </c>
      <c r="BA147" s="17">
        <v>1</v>
      </c>
      <c r="BB147" s="17" t="s">
        <v>1313</v>
      </c>
      <c r="BC147" s="17">
        <v>0</v>
      </c>
      <c r="BD147" s="17">
        <v>1</v>
      </c>
      <c r="BE147" s="17">
        <v>0</v>
      </c>
      <c r="BF147" s="17">
        <v>0</v>
      </c>
      <c r="BG147" s="428">
        <v>0</v>
      </c>
      <c r="BH147" s="17">
        <v>1</v>
      </c>
      <c r="BI147" s="17">
        <v>0</v>
      </c>
      <c r="BJ147" s="17">
        <v>0</v>
      </c>
      <c r="BK147" s="17">
        <v>0</v>
      </c>
      <c r="BL147" s="17">
        <v>0</v>
      </c>
      <c r="BM147" s="17">
        <v>0</v>
      </c>
      <c r="BN147" s="320">
        <v>0</v>
      </c>
      <c r="BO147" s="320">
        <v>0</v>
      </c>
      <c r="BP147" s="427">
        <v>0</v>
      </c>
      <c r="BQ147" s="427">
        <v>0</v>
      </c>
      <c r="BR147" s="320">
        <v>0</v>
      </c>
      <c r="BS147" s="320">
        <v>0</v>
      </c>
      <c r="BT147" s="427">
        <v>0</v>
      </c>
      <c r="BU147" s="320">
        <v>0</v>
      </c>
      <c r="BV147" s="320">
        <f t="shared" si="158"/>
        <v>0</v>
      </c>
      <c r="BW147" s="320">
        <f t="shared" si="175"/>
        <v>0</v>
      </c>
      <c r="BX147" s="427" t="s">
        <v>318</v>
      </c>
      <c r="BY147" s="320">
        <f t="shared" si="133"/>
        <v>0</v>
      </c>
      <c r="BZ147" s="320">
        <f t="shared" si="159"/>
        <v>1</v>
      </c>
      <c r="CA147" s="320">
        <f t="shared" si="127"/>
        <v>1</v>
      </c>
      <c r="CB147" s="320">
        <f t="shared" si="134"/>
        <v>0</v>
      </c>
      <c r="CC147" s="427">
        <v>1</v>
      </c>
      <c r="CD147" s="320">
        <f t="shared" si="160"/>
        <v>1</v>
      </c>
      <c r="CE147" s="320">
        <f t="shared" si="161"/>
        <v>0</v>
      </c>
      <c r="CF147" s="320">
        <f t="shared" si="162"/>
        <v>0</v>
      </c>
      <c r="CG147" s="320">
        <f t="shared" si="163"/>
        <v>0</v>
      </c>
      <c r="CH147" s="427">
        <v>0</v>
      </c>
      <c r="CI147" s="427">
        <v>0</v>
      </c>
      <c r="CJ147" s="427">
        <v>0</v>
      </c>
      <c r="CK147" s="427">
        <v>0</v>
      </c>
      <c r="CL147" s="320">
        <f t="shared" si="178"/>
        <v>0</v>
      </c>
      <c r="CM147" s="320">
        <f t="shared" si="164"/>
        <v>0</v>
      </c>
      <c r="CN147" s="320">
        <f t="shared" si="165"/>
        <v>0</v>
      </c>
      <c r="CO147" s="320">
        <f t="shared" si="166"/>
        <v>0</v>
      </c>
      <c r="CP147" s="427">
        <v>1</v>
      </c>
      <c r="CQ147" s="427">
        <v>0</v>
      </c>
      <c r="CR147" s="320">
        <f t="shared" si="167"/>
        <v>0</v>
      </c>
      <c r="CS147" s="320">
        <f t="shared" si="176"/>
        <v>0</v>
      </c>
      <c r="CT147" s="320">
        <f t="shared" si="120"/>
        <v>0</v>
      </c>
      <c r="CU147" s="320">
        <f t="shared" si="121"/>
        <v>0</v>
      </c>
      <c r="CV147" s="427">
        <v>1</v>
      </c>
      <c r="CW147" s="17">
        <v>0</v>
      </c>
      <c r="CX147" s="320">
        <f t="shared" si="122"/>
        <v>0</v>
      </c>
      <c r="CY147" s="320">
        <f t="shared" si="168"/>
        <v>0</v>
      </c>
      <c r="CZ147" s="320">
        <f t="shared" si="169"/>
        <v>0</v>
      </c>
      <c r="DA147" s="17">
        <v>0</v>
      </c>
      <c r="DB147" s="17">
        <v>0</v>
      </c>
      <c r="DC147" s="17">
        <v>0</v>
      </c>
      <c r="DD147" s="31"/>
      <c r="DE147" s="352" t="s">
        <v>388</v>
      </c>
      <c r="DF147" s="352" t="s">
        <v>388</v>
      </c>
      <c r="DG147" s="352" t="s">
        <v>388</v>
      </c>
      <c r="DH147" s="352" t="s">
        <v>388</v>
      </c>
      <c r="DI147" s="346" t="s">
        <v>388</v>
      </c>
      <c r="DJ147" s="352" t="s">
        <v>388</v>
      </c>
      <c r="DK147" s="354" t="s">
        <v>1110</v>
      </c>
      <c r="DL147" s="352" t="s">
        <v>388</v>
      </c>
      <c r="DM147" s="352" t="s">
        <v>388</v>
      </c>
      <c r="DN147" s="352" t="s">
        <v>388</v>
      </c>
      <c r="DO147" s="352" t="s">
        <v>388</v>
      </c>
      <c r="DP147" s="353"/>
      <c r="DQ147" s="381" t="s">
        <v>387</v>
      </c>
      <c r="DR147" s="239">
        <f>SUM(DS147:DX147)/6</f>
        <v>0.17204106280193235</v>
      </c>
      <c r="DS147" s="429">
        <f t="shared" si="170"/>
        <v>0.17391304347826086</v>
      </c>
      <c r="DT147" s="429">
        <f>SUM(BA147:BE147,BG147)/5</f>
        <v>0.4</v>
      </c>
      <c r="DU147" s="429">
        <f>SUM(BI147,BO147,BS147,BU147:BW147)/6</f>
        <v>0</v>
      </c>
      <c r="DV147" s="429">
        <f>SUM(BY147-CB147,CD147-CG147)/8</f>
        <v>0.125</v>
      </c>
      <c r="DW147" s="429">
        <f>SUM(CH147:CJ147,CL147:CO147,BN147,BR147)/9</f>
        <v>0</v>
      </c>
      <c r="DX147" s="429">
        <f>SUM(CP147,CR147:CV147)/6</f>
        <v>0.33333333333333331</v>
      </c>
      <c r="DY147" s="491"/>
      <c r="DZ147" s="203"/>
      <c r="EA147" s="203"/>
      <c r="EB147" s="203"/>
      <c r="EC147" s="203"/>
      <c r="ED147" s="204"/>
      <c r="EH147" s="163"/>
      <c r="EI147" s="210"/>
      <c r="EJ147" s="165" t="b">
        <f t="shared" si="171"/>
        <v>0</v>
      </c>
      <c r="EK147" s="211"/>
      <c r="EL147" s="211"/>
      <c r="EM147" s="211"/>
      <c r="EN147" s="489"/>
      <c r="EO147" s="489"/>
      <c r="EP147" s="489"/>
      <c r="EQ147" s="214"/>
      <c r="ER147" s="167"/>
      <c r="ES147" s="169"/>
      <c r="ET147" s="490"/>
      <c r="EU147" s="228"/>
      <c r="EV147" s="213"/>
      <c r="EZ147" s="393" t="s">
        <v>1311</v>
      </c>
      <c r="FA147" s="393" t="s">
        <v>1311</v>
      </c>
      <c r="FB147" s="389">
        <v>3436</v>
      </c>
      <c r="FC147" s="389">
        <v>3343</v>
      </c>
      <c r="FD147" s="389">
        <v>3296</v>
      </c>
      <c r="FE147" s="389">
        <v>3239</v>
      </c>
      <c r="FF147" s="389">
        <v>3182</v>
      </c>
      <c r="FG147" s="390">
        <v>-2.8118456476218965E-3</v>
      </c>
      <c r="FH147" s="390">
        <v>-3.4587378640776696E-3</v>
      </c>
      <c r="FI147" s="390">
        <v>-3.5196048163013277E-3</v>
      </c>
      <c r="FJ147" s="391">
        <v>1.7598024081506774E-2</v>
      </c>
      <c r="FK147" s="391" t="s">
        <v>1386</v>
      </c>
      <c r="FL147" s="31" t="s">
        <v>1379</v>
      </c>
      <c r="FN147" s="215" t="s">
        <v>1668</v>
      </c>
      <c r="FO147" s="215" t="s">
        <v>1669</v>
      </c>
      <c r="FP147" s="215" t="s">
        <v>1346</v>
      </c>
      <c r="FR147" s="402">
        <v>1</v>
      </c>
      <c r="FS147" s="402">
        <v>0</v>
      </c>
      <c r="FT147" s="402">
        <v>1</v>
      </c>
      <c r="FU147" s="402">
        <v>1</v>
      </c>
    </row>
    <row r="148" spans="1:177" ht="22" hidden="1" customHeight="1" x14ac:dyDescent="0.2">
      <c r="A148" s="13" t="s">
        <v>4</v>
      </c>
      <c r="B148" s="14" t="s">
        <v>21</v>
      </c>
      <c r="C148" s="14"/>
      <c r="D148" s="14"/>
      <c r="E148" s="128" t="s">
        <v>167</v>
      </c>
      <c r="F148" s="15"/>
      <c r="G148" s="15" t="s">
        <v>634</v>
      </c>
      <c r="H148" s="91">
        <f t="shared" ref="H148:H160" si="181">IF(G148="YES",0,1)</f>
        <v>1</v>
      </c>
      <c r="I148" s="95">
        <f t="shared" si="123"/>
        <v>0</v>
      </c>
      <c r="J148" s="91"/>
      <c r="K148" s="256">
        <f t="shared" si="137"/>
        <v>1</v>
      </c>
      <c r="L148" s="101">
        <v>0</v>
      </c>
      <c r="M148" s="25"/>
      <c r="N148" s="89"/>
      <c r="O148" s="98" t="str">
        <f t="shared" si="136"/>
        <v>_x000D__x000D_</v>
      </c>
      <c r="P148" s="98"/>
      <c r="Q148" s="55"/>
      <c r="R148" s="64" t="s">
        <v>918</v>
      </c>
      <c r="S148" s="425"/>
      <c r="T148" s="300" t="s">
        <v>834</v>
      </c>
      <c r="U148" s="300" t="s">
        <v>834</v>
      </c>
      <c r="V148" s="300" t="s">
        <v>834</v>
      </c>
      <c r="W148" s="258"/>
      <c r="X148" s="307" t="s">
        <v>834</v>
      </c>
      <c r="Y148" s="274"/>
      <c r="Z148" s="426"/>
      <c r="AA148" s="320">
        <f t="shared" ref="AA148:AA203" si="182">IF(ISNUMBER(SEARCH("1",$Z148)),1,0)</f>
        <v>0</v>
      </c>
      <c r="AB148" s="320">
        <f t="shared" ref="AB148:AB203" si="183">IF(ISNUMBER(SEARCH("1s",$Z148)),1,0)</f>
        <v>0</v>
      </c>
      <c r="AC148" s="320">
        <f t="shared" ref="AC148:AC203" si="184">IF(ISNUMBER(SEARCH("2",$Z148)),1,0)</f>
        <v>0</v>
      </c>
      <c r="AD148" s="320">
        <f t="shared" ref="AD148:AD203" si="185">IF(ISNUMBER(SEARCH("2s",$Z148)),1,0)</f>
        <v>0</v>
      </c>
      <c r="AE148" s="320">
        <f t="shared" ref="AE148:AE203" si="186">IF(ISNUMBER(SEARCH("3",$Z148)),1,0)</f>
        <v>0</v>
      </c>
      <c r="AF148" s="320">
        <f t="shared" ref="AF148:AF203" si="187">IF(ISNUMBER(SEARCH("3s",$Z148)),1,0)</f>
        <v>0</v>
      </c>
      <c r="AG148" s="320">
        <f t="shared" ref="AG148:AG203" si="188">IF(ISNUMBER(SEARCH("s",$Z148)),1,0)</f>
        <v>0</v>
      </c>
      <c r="AH148" s="427"/>
      <c r="AI148" s="320">
        <f t="shared" ref="AI148:AI203" si="189">IF(ISNUMBER(SEARCH("1",$AH148)),1,0)</f>
        <v>0</v>
      </c>
      <c r="AJ148" s="320">
        <f t="shared" ref="AJ148:AJ203" si="190">IF(ISNUMBER(SEARCH("1s",$AH148)),1,0)</f>
        <v>0</v>
      </c>
      <c r="AK148" s="320">
        <f t="shared" ref="AK148:AK203" si="191">IF(ISNUMBER(SEARCH("2",$AH148)),1,0)</f>
        <v>0</v>
      </c>
      <c r="AL148" s="320">
        <f t="shared" ref="AL148:AL203" si="192">IF(ISNUMBER(SEARCH("2s",$AH148)),1,0)</f>
        <v>0</v>
      </c>
      <c r="AM148" s="320">
        <f t="shared" ref="AM148:AM203" si="193">IF(ISNUMBER(SEARCH("3",$AH148)),1,0)</f>
        <v>0</v>
      </c>
      <c r="AN148" s="320">
        <f t="shared" ref="AN148:AN203" si="194">IF(ISNUMBER(SEARCH("3s",$AH148)),1,0)</f>
        <v>0</v>
      </c>
      <c r="AO148" s="427"/>
      <c r="AP148" s="320">
        <f t="shared" si="173"/>
        <v>0</v>
      </c>
      <c r="AQ148" s="320">
        <f t="shared" si="148"/>
        <v>0</v>
      </c>
      <c r="AR148" s="320">
        <f t="shared" si="149"/>
        <v>0</v>
      </c>
      <c r="AS148" s="320">
        <f t="shared" si="150"/>
        <v>0</v>
      </c>
      <c r="AT148" s="320">
        <f t="shared" si="151"/>
        <v>0</v>
      </c>
      <c r="AU148" s="320">
        <f t="shared" si="152"/>
        <v>0</v>
      </c>
      <c r="AV148" s="427"/>
      <c r="AW148" s="320">
        <f t="shared" si="153"/>
        <v>0</v>
      </c>
      <c r="AX148" s="320">
        <f t="shared" si="154"/>
        <v>0</v>
      </c>
      <c r="AY148" s="320">
        <f t="shared" si="155"/>
        <v>0</v>
      </c>
      <c r="AZ148" s="320">
        <f t="shared" si="156"/>
        <v>0</v>
      </c>
      <c r="BA148" s="17"/>
      <c r="BB148" s="17" t="s">
        <v>834</v>
      </c>
      <c r="BC148" s="17"/>
      <c r="BD148" s="17"/>
      <c r="BE148" s="17"/>
      <c r="BF148" s="17"/>
      <c r="BG148" s="428">
        <f t="shared" ref="BG148:BG203" si="195">IF(BF148&gt;0,1,0)</f>
        <v>0</v>
      </c>
      <c r="BH148" s="17"/>
      <c r="BI148" s="17"/>
      <c r="BJ148" s="17"/>
      <c r="BK148" s="17"/>
      <c r="BL148" s="17"/>
      <c r="BM148" s="17"/>
      <c r="BN148" s="320">
        <f t="shared" ref="BN148:BN203" si="196">IF(ISNUMBER(SEARCH("1",$BL148)),1,0)</f>
        <v>0</v>
      </c>
      <c r="BO148" s="320">
        <f t="shared" ref="BO148:BO203" si="197">IF(ISNUMBER(SEARCH("t",$BL148)),1,0)</f>
        <v>0</v>
      </c>
      <c r="BP148" s="427"/>
      <c r="BQ148" s="427"/>
      <c r="BR148" s="320">
        <f>IF(ISNUMBER(SEARCH("1",$BP148)),1,0)</f>
        <v>0</v>
      </c>
      <c r="BS148" s="320">
        <f>IF(ISNUMBER(SEARCH("1",$BP148)),1,0)</f>
        <v>0</v>
      </c>
      <c r="BT148" s="427"/>
      <c r="BU148" s="320">
        <f t="shared" ref="BU148:BU203" si="198">IF(ISNUMBER(SEARCH("1",$BT148)),1,0)</f>
        <v>0</v>
      </c>
      <c r="BV148" s="320">
        <f t="shared" si="158"/>
        <v>0</v>
      </c>
      <c r="BW148" s="320">
        <f t="shared" si="175"/>
        <v>0</v>
      </c>
      <c r="BX148" s="427"/>
      <c r="BY148" s="320">
        <f t="shared" si="133"/>
        <v>0</v>
      </c>
      <c r="BZ148" s="320">
        <f t="shared" si="159"/>
        <v>0</v>
      </c>
      <c r="CA148" s="320">
        <f t="shared" si="127"/>
        <v>0</v>
      </c>
      <c r="CB148" s="320">
        <f t="shared" si="134"/>
        <v>0</v>
      </c>
      <c r="CC148" s="427"/>
      <c r="CD148" s="320">
        <f t="shared" si="160"/>
        <v>0</v>
      </c>
      <c r="CE148" s="320">
        <f t="shared" si="161"/>
        <v>0</v>
      </c>
      <c r="CF148" s="320">
        <f t="shared" si="162"/>
        <v>0</v>
      </c>
      <c r="CG148" s="320">
        <f t="shared" si="163"/>
        <v>0</v>
      </c>
      <c r="CH148" s="427"/>
      <c r="CI148" s="427"/>
      <c r="CJ148" s="427"/>
      <c r="CK148" s="427"/>
      <c r="CL148" s="320">
        <f t="shared" si="178"/>
        <v>0</v>
      </c>
      <c r="CM148" s="320">
        <f t="shared" si="164"/>
        <v>0</v>
      </c>
      <c r="CN148" s="320">
        <f t="shared" si="165"/>
        <v>0</v>
      </c>
      <c r="CO148" s="320">
        <f t="shared" si="166"/>
        <v>0</v>
      </c>
      <c r="CP148" s="427"/>
      <c r="CQ148" s="427"/>
      <c r="CR148" s="320">
        <f t="shared" si="167"/>
        <v>0</v>
      </c>
      <c r="CS148" s="320">
        <f t="shared" si="176"/>
        <v>0</v>
      </c>
      <c r="CT148" s="320">
        <f t="shared" si="120"/>
        <v>0</v>
      </c>
      <c r="CU148" s="320">
        <f t="shared" si="121"/>
        <v>0</v>
      </c>
      <c r="CV148" s="427"/>
      <c r="CW148" s="17"/>
      <c r="CX148" s="320">
        <f t="shared" si="122"/>
        <v>0</v>
      </c>
      <c r="CY148" s="320">
        <f t="shared" si="168"/>
        <v>0</v>
      </c>
      <c r="CZ148" s="320">
        <f t="shared" si="169"/>
        <v>0</v>
      </c>
      <c r="DA148" s="17"/>
      <c r="DB148" s="17"/>
      <c r="DC148" s="17"/>
      <c r="DD148" s="31"/>
      <c r="DE148" s="321"/>
      <c r="DF148" s="321"/>
      <c r="DG148" s="321"/>
      <c r="DH148" s="321"/>
      <c r="DI148" s="321"/>
      <c r="DJ148" s="321"/>
      <c r="DK148" s="321"/>
      <c r="DL148" s="321"/>
      <c r="DM148" s="321"/>
      <c r="DN148" s="321"/>
      <c r="DO148" s="321"/>
      <c r="DP148" s="322"/>
      <c r="DQ148" s="288"/>
      <c r="DR148" s="241"/>
      <c r="DS148" s="429">
        <f t="shared" si="170"/>
        <v>0</v>
      </c>
      <c r="DT148" s="429">
        <f>SUM(BA148:BF148)/5</f>
        <v>0</v>
      </c>
      <c r="DU148" s="429"/>
      <c r="DV148" s="429"/>
      <c r="DW148" s="429"/>
      <c r="DX148" s="429"/>
      <c r="DY148" s="429"/>
      <c r="DZ148" s="134"/>
      <c r="EA148" s="134"/>
      <c r="EB148" s="134"/>
      <c r="EC148" s="134"/>
      <c r="ED148" s="123"/>
      <c r="EH148" s="44">
        <v>0</v>
      </c>
      <c r="EI148" s="45"/>
      <c r="EJ148" s="33" t="b">
        <f t="shared" si="171"/>
        <v>0</v>
      </c>
      <c r="EK148" s="42"/>
      <c r="EL148" s="42"/>
      <c r="EM148" s="42"/>
      <c r="EN148" s="439"/>
      <c r="EO148" s="439"/>
      <c r="EP148" s="439"/>
      <c r="EQ148" s="38"/>
      <c r="ER148" s="440"/>
      <c r="ES148" s="431"/>
      <c r="ET148" s="431" t="s">
        <v>663</v>
      </c>
      <c r="EU148" s="431"/>
      <c r="EV148" s="447"/>
      <c r="EZ148" s="393" t="s">
        <v>167</v>
      </c>
      <c r="FA148" s="393" t="s">
        <v>167</v>
      </c>
      <c r="FB148" s="389">
        <v>0</v>
      </c>
      <c r="FC148" s="389">
        <v>0</v>
      </c>
      <c r="FD148" s="389">
        <v>0</v>
      </c>
      <c r="FE148" s="389">
        <v>0</v>
      </c>
      <c r="FF148" s="389">
        <v>0</v>
      </c>
      <c r="FG148" s="390" t="s">
        <v>1375</v>
      </c>
      <c r="FH148" s="390" t="s">
        <v>1375</v>
      </c>
      <c r="FI148" s="390" t="s">
        <v>1375</v>
      </c>
      <c r="FJ148" s="391" t="s">
        <v>1389</v>
      </c>
      <c r="FK148" s="391" t="e">
        <v>#VALUE!</v>
      </c>
      <c r="FL148" s="31" t="s">
        <v>1375</v>
      </c>
      <c r="FN148" s="128" t="s">
        <v>1670</v>
      </c>
      <c r="FO148" s="128" t="s">
        <v>1671</v>
      </c>
      <c r="FP148" s="128"/>
    </row>
    <row r="149" spans="1:177" ht="22" hidden="1" customHeight="1" x14ac:dyDescent="0.2">
      <c r="A149" s="13" t="s">
        <v>4</v>
      </c>
      <c r="B149" s="14" t="s">
        <v>62</v>
      </c>
      <c r="C149" s="14"/>
      <c r="D149" s="14" t="s">
        <v>1068</v>
      </c>
      <c r="E149" s="128" t="s">
        <v>168</v>
      </c>
      <c r="F149" s="15" t="s">
        <v>638</v>
      </c>
      <c r="G149" s="15" t="s">
        <v>635</v>
      </c>
      <c r="H149" s="91">
        <f t="shared" si="181"/>
        <v>0</v>
      </c>
      <c r="I149" s="95">
        <f t="shared" si="123"/>
        <v>2</v>
      </c>
      <c r="J149" s="91"/>
      <c r="K149" s="256">
        <f t="shared" si="137"/>
        <v>2</v>
      </c>
      <c r="L149" s="101" t="s">
        <v>678</v>
      </c>
      <c r="M149" s="99">
        <v>1</v>
      </c>
      <c r="N149" s="89"/>
      <c r="O149" s="98" t="str">
        <f t="shared" si="136"/>
        <v>_x000D__x000D_</v>
      </c>
      <c r="P149" s="144" t="str">
        <f>CONCATENATE(V149,R149,X149)</f>
        <v xml:space="preserve"> _x000D__x000D_In acknowledgement of their significant roles in adaptation, subnational and local governments are mandated to develop their own action plans for climate change adaptation by 2015 tailored to the local context._x000D_At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actions:_x000D_-  Strengthening infrastructure for climate change monitoring, forecasting and analysis;_x000D_-  Developing a management system for disaster prevention and stable water supply;_x000D_-  Developing a climate-resilient ecosystem;_x000D_- Making a systemic transition to a climate-resilient social and economic structure; and_x000D_- Enhancing the system for the management of negative impacts of climate change on health</v>
      </c>
      <c r="Q149" s="55"/>
      <c r="R149" s="64" t="s">
        <v>918</v>
      </c>
      <c r="S149" s="425"/>
      <c r="T149" s="300" t="s">
        <v>925</v>
      </c>
      <c r="U149" s="300" t="s">
        <v>925</v>
      </c>
      <c r="V149" s="300" t="s">
        <v>924</v>
      </c>
      <c r="W149" s="258"/>
      <c r="X149" s="307" t="s">
        <v>934</v>
      </c>
      <c r="Y149" s="297"/>
      <c r="Z149" s="426">
        <v>1</v>
      </c>
      <c r="AA149" s="320">
        <f t="shared" si="182"/>
        <v>1</v>
      </c>
      <c r="AB149" s="320">
        <f t="shared" si="183"/>
        <v>0</v>
      </c>
      <c r="AC149" s="320">
        <f t="shared" si="184"/>
        <v>0</v>
      </c>
      <c r="AD149" s="320">
        <f t="shared" si="185"/>
        <v>0</v>
      </c>
      <c r="AE149" s="320">
        <f t="shared" si="186"/>
        <v>0</v>
      </c>
      <c r="AF149" s="320">
        <f t="shared" si="187"/>
        <v>0</v>
      </c>
      <c r="AG149" s="320">
        <f t="shared" si="188"/>
        <v>0</v>
      </c>
      <c r="AH149" s="427" t="s">
        <v>224</v>
      </c>
      <c r="AI149" s="320">
        <f t="shared" si="189"/>
        <v>1</v>
      </c>
      <c r="AJ149" s="320">
        <f t="shared" si="190"/>
        <v>0</v>
      </c>
      <c r="AK149" s="320">
        <f t="shared" si="191"/>
        <v>1</v>
      </c>
      <c r="AL149" s="320">
        <f t="shared" si="192"/>
        <v>0</v>
      </c>
      <c r="AM149" s="320">
        <f t="shared" si="193"/>
        <v>1</v>
      </c>
      <c r="AN149" s="320">
        <f t="shared" si="194"/>
        <v>0</v>
      </c>
      <c r="AO149" s="427">
        <v>1</v>
      </c>
      <c r="AP149" s="320">
        <f t="shared" si="173"/>
        <v>1</v>
      </c>
      <c r="AQ149" s="320">
        <f t="shared" si="148"/>
        <v>0</v>
      </c>
      <c r="AR149" s="320">
        <f t="shared" si="149"/>
        <v>0</v>
      </c>
      <c r="AS149" s="320">
        <f t="shared" si="150"/>
        <v>0</v>
      </c>
      <c r="AT149" s="320">
        <f t="shared" si="151"/>
        <v>0</v>
      </c>
      <c r="AU149" s="320">
        <f t="shared" si="152"/>
        <v>0</v>
      </c>
      <c r="AV149" s="427">
        <v>0</v>
      </c>
      <c r="AW149" s="320">
        <f t="shared" si="153"/>
        <v>0</v>
      </c>
      <c r="AX149" s="320">
        <f t="shared" si="154"/>
        <v>0</v>
      </c>
      <c r="AY149" s="320">
        <f t="shared" si="155"/>
        <v>0</v>
      </c>
      <c r="AZ149" s="320">
        <f t="shared" si="156"/>
        <v>0</v>
      </c>
      <c r="BA149" s="17">
        <v>0</v>
      </c>
      <c r="BB149" s="17" t="s">
        <v>1280</v>
      </c>
      <c r="BC149" s="17">
        <v>0</v>
      </c>
      <c r="BD149" s="17">
        <v>0</v>
      </c>
      <c r="BE149" s="17">
        <v>1</v>
      </c>
      <c r="BF149" s="17">
        <v>0</v>
      </c>
      <c r="BG149" s="428">
        <f t="shared" si="195"/>
        <v>0</v>
      </c>
      <c r="BH149" s="17">
        <v>1</v>
      </c>
      <c r="BI149" s="17">
        <v>0</v>
      </c>
      <c r="BJ149" s="17" t="s">
        <v>1235</v>
      </c>
      <c r="BK149" s="17"/>
      <c r="BL149" s="17">
        <v>0</v>
      </c>
      <c r="BM149" s="17" t="s">
        <v>834</v>
      </c>
      <c r="BN149" s="320">
        <f t="shared" si="196"/>
        <v>0</v>
      </c>
      <c r="BO149" s="320">
        <f t="shared" si="197"/>
        <v>0</v>
      </c>
      <c r="BP149" s="427">
        <v>0</v>
      </c>
      <c r="BQ149" s="427" t="s">
        <v>1236</v>
      </c>
      <c r="BR149" s="320">
        <f t="shared" ref="BR149:BS180" si="199">IF(ISNUMBER(SEARCH("1",$BP149)),1,0)</f>
        <v>0</v>
      </c>
      <c r="BS149" s="320">
        <f>IF(ISNUMBER(SEARCH("t",$BP149)),1,0)</f>
        <v>0</v>
      </c>
      <c r="BT149" s="427">
        <v>0</v>
      </c>
      <c r="BU149" s="320">
        <f t="shared" si="198"/>
        <v>0</v>
      </c>
      <c r="BV149" s="320">
        <f t="shared" si="158"/>
        <v>0</v>
      </c>
      <c r="BW149" s="320">
        <f t="shared" si="175"/>
        <v>0</v>
      </c>
      <c r="BX149" s="427" t="s">
        <v>315</v>
      </c>
      <c r="BY149" s="320">
        <f t="shared" si="133"/>
        <v>1</v>
      </c>
      <c r="BZ149" s="320">
        <f t="shared" si="159"/>
        <v>0</v>
      </c>
      <c r="CA149" s="320">
        <f t="shared" si="127"/>
        <v>1</v>
      </c>
      <c r="CB149" s="320">
        <f t="shared" si="134"/>
        <v>0</v>
      </c>
      <c r="CC149" s="427">
        <v>1</v>
      </c>
      <c r="CD149" s="320">
        <f t="shared" si="160"/>
        <v>1</v>
      </c>
      <c r="CE149" s="320">
        <f t="shared" si="161"/>
        <v>0</v>
      </c>
      <c r="CF149" s="320">
        <f t="shared" si="162"/>
        <v>0</v>
      </c>
      <c r="CG149" s="320">
        <f t="shared" si="163"/>
        <v>0</v>
      </c>
      <c r="CH149" s="427">
        <v>0</v>
      </c>
      <c r="CI149" s="427">
        <v>0</v>
      </c>
      <c r="CJ149" s="427">
        <v>0</v>
      </c>
      <c r="CK149" s="427">
        <v>0</v>
      </c>
      <c r="CL149" s="320">
        <f t="shared" si="178"/>
        <v>0</v>
      </c>
      <c r="CM149" s="320">
        <f t="shared" si="164"/>
        <v>0</v>
      </c>
      <c r="CN149" s="320">
        <f t="shared" si="165"/>
        <v>0</v>
      </c>
      <c r="CO149" s="320">
        <f t="shared" si="166"/>
        <v>0</v>
      </c>
      <c r="CP149" s="427">
        <v>0</v>
      </c>
      <c r="CQ149" s="427" t="s">
        <v>317</v>
      </c>
      <c r="CR149" s="320">
        <f t="shared" si="167"/>
        <v>1</v>
      </c>
      <c r="CS149" s="320">
        <f t="shared" si="176"/>
        <v>0</v>
      </c>
      <c r="CT149" s="320">
        <f t="shared" si="120"/>
        <v>1</v>
      </c>
      <c r="CU149" s="320">
        <f t="shared" si="121"/>
        <v>0</v>
      </c>
      <c r="CV149" s="427">
        <v>0</v>
      </c>
      <c r="CW149" s="17">
        <v>4</v>
      </c>
      <c r="CX149" s="320">
        <f t="shared" si="122"/>
        <v>0</v>
      </c>
      <c r="CY149" s="320">
        <f t="shared" si="168"/>
        <v>0</v>
      </c>
      <c r="CZ149" s="320">
        <f t="shared" si="169"/>
        <v>0</v>
      </c>
      <c r="DA149" s="17">
        <v>0</v>
      </c>
      <c r="DB149" s="17">
        <v>0</v>
      </c>
      <c r="DC149" s="17">
        <v>0</v>
      </c>
      <c r="DD149" s="31"/>
      <c r="DE149" s="323" t="s">
        <v>387</v>
      </c>
      <c r="DF149" s="323"/>
      <c r="DG149" s="323"/>
      <c r="DH149" s="323" t="s">
        <v>387</v>
      </c>
      <c r="DI149" s="323"/>
      <c r="DJ149" s="323"/>
      <c r="DK149" s="323"/>
      <c r="DL149" s="323"/>
      <c r="DM149" s="323"/>
      <c r="DN149" s="323"/>
      <c r="DO149" s="323"/>
      <c r="DP149" s="324"/>
      <c r="DQ149" s="288"/>
      <c r="DR149" s="240">
        <f>SUM(DS149:DX149)/6</f>
        <v>0.16678743961352657</v>
      </c>
      <c r="DS149" s="429">
        <f t="shared" si="170"/>
        <v>0.21739130434782608</v>
      </c>
      <c r="DT149" s="429">
        <f>SUM(BA149:BE149,BG149)/5</f>
        <v>0.2</v>
      </c>
      <c r="DU149" s="429">
        <f>SUM(BI149,BO149,BS149,BU149:BW149)/6</f>
        <v>0</v>
      </c>
      <c r="DV149" s="429">
        <f>SUM(BY149-CB149,CD149-CG149)/8</f>
        <v>0.25</v>
      </c>
      <c r="DW149" s="429">
        <f>SUM(CH149:CJ149,CL149:CO149,BN149,BR149)/9</f>
        <v>0</v>
      </c>
      <c r="DX149" s="429">
        <f>SUM(CP149,CR149:CV149)/6</f>
        <v>0.33333333333333331</v>
      </c>
      <c r="DY149" s="444"/>
      <c r="DZ149" s="137"/>
      <c r="EA149" s="135"/>
      <c r="EB149" s="135"/>
      <c r="EC149" s="135"/>
      <c r="ED149" s="124"/>
      <c r="EH149" s="44">
        <v>0</v>
      </c>
      <c r="EI149" s="45"/>
      <c r="EJ149" s="33" t="e">
        <f t="shared" si="171"/>
        <v>#VALUE!</v>
      </c>
      <c r="EK149" s="42"/>
      <c r="EL149" s="42"/>
      <c r="EM149" s="42"/>
      <c r="EN149" s="439"/>
      <c r="EO149" s="439"/>
      <c r="EP149" s="439"/>
      <c r="EQ149" s="38"/>
      <c r="ER149" s="440">
        <v>1</v>
      </c>
      <c r="ES149" s="431"/>
      <c r="ET149" s="431"/>
      <c r="EU149" s="431"/>
      <c r="EV149" s="447"/>
      <c r="EZ149" s="393" t="s">
        <v>168</v>
      </c>
      <c r="FA149" s="393" t="s">
        <v>168</v>
      </c>
      <c r="FB149" s="389">
        <v>6370</v>
      </c>
      <c r="FC149" s="389">
        <v>6288</v>
      </c>
      <c r="FD149" s="389">
        <v>6255</v>
      </c>
      <c r="FE149" s="389">
        <v>6222</v>
      </c>
      <c r="FF149" s="389">
        <v>6184</v>
      </c>
      <c r="FG149" s="390">
        <v>-1.0496183206106871E-3</v>
      </c>
      <c r="FH149" s="390">
        <v>-1.0551558752997603E-3</v>
      </c>
      <c r="FI149" s="390">
        <v>-1.2214721954355513E-3</v>
      </c>
      <c r="FJ149" s="391">
        <v>0.15762251249232923</v>
      </c>
      <c r="FK149" s="391" t="s">
        <v>1386</v>
      </c>
      <c r="FL149" s="31" t="s">
        <v>1379</v>
      </c>
      <c r="FN149" s="128"/>
      <c r="FO149" s="128" t="s">
        <v>1672</v>
      </c>
      <c r="FP149" s="128"/>
    </row>
    <row r="150" spans="1:177" ht="22" hidden="1" customHeight="1" x14ac:dyDescent="0.2">
      <c r="A150" s="13" t="s">
        <v>7</v>
      </c>
      <c r="B150" s="14" t="s">
        <v>34</v>
      </c>
      <c r="C150" s="9" t="s">
        <v>1024</v>
      </c>
      <c r="D150" s="14"/>
      <c r="E150" s="128" t="s">
        <v>169</v>
      </c>
      <c r="F150" s="15"/>
      <c r="G150" s="15" t="s">
        <v>635</v>
      </c>
      <c r="H150" s="91">
        <f t="shared" si="181"/>
        <v>0</v>
      </c>
      <c r="I150" s="95">
        <f t="shared" si="123"/>
        <v>0</v>
      </c>
      <c r="J150" s="91"/>
      <c r="K150" s="256">
        <f t="shared" si="137"/>
        <v>0</v>
      </c>
      <c r="L150" s="101">
        <v>0</v>
      </c>
      <c r="M150" s="99"/>
      <c r="N150" s="89"/>
      <c r="O150" s="98" t="str">
        <f t="shared" si="136"/>
        <v>_x000D__x000D_</v>
      </c>
      <c r="P150" s="98" t="str">
        <f>CONCATENATE(V150,R150,X150)</f>
        <v>_x000D__x000D_</v>
      </c>
      <c r="Q150" s="55"/>
      <c r="R150" s="64" t="s">
        <v>918</v>
      </c>
      <c r="S150" s="425"/>
      <c r="T150" s="300" t="s">
        <v>883</v>
      </c>
      <c r="U150" s="300" t="s">
        <v>834</v>
      </c>
      <c r="V150" s="300" t="s">
        <v>834</v>
      </c>
      <c r="W150" s="258"/>
      <c r="X150" s="307" t="s">
        <v>834</v>
      </c>
      <c r="Y150" s="274"/>
      <c r="Z150" s="426"/>
      <c r="AA150" s="320">
        <f t="shared" si="182"/>
        <v>0</v>
      </c>
      <c r="AB150" s="320">
        <f t="shared" si="183"/>
        <v>0</v>
      </c>
      <c r="AC150" s="320">
        <f t="shared" si="184"/>
        <v>0</v>
      </c>
      <c r="AD150" s="320">
        <f t="shared" si="185"/>
        <v>0</v>
      </c>
      <c r="AE150" s="320">
        <f t="shared" si="186"/>
        <v>0</v>
      </c>
      <c r="AF150" s="320">
        <f t="shared" si="187"/>
        <v>0</v>
      </c>
      <c r="AG150" s="320">
        <f t="shared" si="188"/>
        <v>0</v>
      </c>
      <c r="AH150" s="427"/>
      <c r="AI150" s="320">
        <f t="shared" si="189"/>
        <v>0</v>
      </c>
      <c r="AJ150" s="320">
        <f t="shared" si="190"/>
        <v>0</v>
      </c>
      <c r="AK150" s="320">
        <f t="shared" si="191"/>
        <v>0</v>
      </c>
      <c r="AL150" s="320">
        <f t="shared" si="192"/>
        <v>0</v>
      </c>
      <c r="AM150" s="320">
        <f t="shared" si="193"/>
        <v>0</v>
      </c>
      <c r="AN150" s="320">
        <f t="shared" si="194"/>
        <v>0</v>
      </c>
      <c r="AO150" s="427"/>
      <c r="AP150" s="320">
        <f t="shared" si="173"/>
        <v>0</v>
      </c>
      <c r="AQ150" s="320">
        <f t="shared" si="148"/>
        <v>0</v>
      </c>
      <c r="AR150" s="320">
        <f t="shared" si="149"/>
        <v>0</v>
      </c>
      <c r="AS150" s="320">
        <f t="shared" si="150"/>
        <v>0</v>
      </c>
      <c r="AT150" s="320">
        <f t="shared" si="151"/>
        <v>0</v>
      </c>
      <c r="AU150" s="320">
        <f t="shared" si="152"/>
        <v>0</v>
      </c>
      <c r="AV150" s="427"/>
      <c r="AW150" s="320">
        <f t="shared" si="153"/>
        <v>0</v>
      </c>
      <c r="AX150" s="320">
        <f t="shared" si="154"/>
        <v>0</v>
      </c>
      <c r="AY150" s="320">
        <f t="shared" si="155"/>
        <v>0</v>
      </c>
      <c r="AZ150" s="320">
        <f t="shared" si="156"/>
        <v>0</v>
      </c>
      <c r="BA150" s="17">
        <v>1</v>
      </c>
      <c r="BB150" s="17" t="s">
        <v>883</v>
      </c>
      <c r="BC150" s="17"/>
      <c r="BD150" s="17"/>
      <c r="BE150" s="17"/>
      <c r="BF150" s="17"/>
      <c r="BG150" s="428">
        <f t="shared" si="195"/>
        <v>0</v>
      </c>
      <c r="BH150" s="17"/>
      <c r="BI150" s="17"/>
      <c r="BJ150" s="17"/>
      <c r="BK150" s="17"/>
      <c r="BL150" s="17"/>
      <c r="BM150" s="17"/>
      <c r="BN150" s="320">
        <f t="shared" si="196"/>
        <v>0</v>
      </c>
      <c r="BO150" s="320">
        <f t="shared" si="197"/>
        <v>0</v>
      </c>
      <c r="BP150" s="427"/>
      <c r="BQ150" s="427"/>
      <c r="BR150" s="320">
        <f t="shared" si="199"/>
        <v>0</v>
      </c>
      <c r="BS150" s="320">
        <f t="shared" si="199"/>
        <v>0</v>
      </c>
      <c r="BT150" s="427"/>
      <c r="BU150" s="320">
        <f t="shared" si="198"/>
        <v>0</v>
      </c>
      <c r="BV150" s="320">
        <f t="shared" si="158"/>
        <v>0</v>
      </c>
      <c r="BW150" s="320">
        <f t="shared" si="175"/>
        <v>0</v>
      </c>
      <c r="BX150" s="427"/>
      <c r="BY150" s="320">
        <f t="shared" si="133"/>
        <v>0</v>
      </c>
      <c r="BZ150" s="320">
        <f t="shared" si="159"/>
        <v>0</v>
      </c>
      <c r="CA150" s="320">
        <f t="shared" si="127"/>
        <v>0</v>
      </c>
      <c r="CB150" s="320">
        <f t="shared" si="134"/>
        <v>0</v>
      </c>
      <c r="CC150" s="427"/>
      <c r="CD150" s="320">
        <f t="shared" si="160"/>
        <v>0</v>
      </c>
      <c r="CE150" s="320">
        <f t="shared" si="161"/>
        <v>0</v>
      </c>
      <c r="CF150" s="320">
        <f t="shared" si="162"/>
        <v>0</v>
      </c>
      <c r="CG150" s="320">
        <f t="shared" si="163"/>
        <v>0</v>
      </c>
      <c r="CH150" s="427"/>
      <c r="CI150" s="427"/>
      <c r="CJ150" s="427"/>
      <c r="CK150" s="427"/>
      <c r="CL150" s="320">
        <f t="shared" si="178"/>
        <v>0</v>
      </c>
      <c r="CM150" s="320">
        <f t="shared" si="164"/>
        <v>0</v>
      </c>
      <c r="CN150" s="320">
        <f t="shared" si="165"/>
        <v>0</v>
      </c>
      <c r="CO150" s="320">
        <f t="shared" si="166"/>
        <v>0</v>
      </c>
      <c r="CP150" s="427"/>
      <c r="CQ150" s="427"/>
      <c r="CR150" s="320">
        <f t="shared" si="167"/>
        <v>0</v>
      </c>
      <c r="CS150" s="320">
        <f t="shared" si="176"/>
        <v>0</v>
      </c>
      <c r="CT150" s="320">
        <f t="shared" si="120"/>
        <v>0</v>
      </c>
      <c r="CU150" s="320">
        <f t="shared" si="121"/>
        <v>0</v>
      </c>
      <c r="CV150" s="427"/>
      <c r="CW150" s="17"/>
      <c r="CX150" s="320">
        <f t="shared" si="122"/>
        <v>0</v>
      </c>
      <c r="CY150" s="320">
        <f t="shared" si="168"/>
        <v>0</v>
      </c>
      <c r="CZ150" s="320">
        <f t="shared" si="169"/>
        <v>0</v>
      </c>
      <c r="DA150" s="17"/>
      <c r="DB150" s="17"/>
      <c r="DC150" s="17"/>
      <c r="DD150" s="31"/>
      <c r="DE150" s="321"/>
      <c r="DF150" s="321"/>
      <c r="DG150" s="321"/>
      <c r="DH150" s="321"/>
      <c r="DI150" s="321"/>
      <c r="DJ150" s="321"/>
      <c r="DK150" s="321"/>
      <c r="DL150" s="321"/>
      <c r="DM150" s="321"/>
      <c r="DN150" s="321"/>
      <c r="DO150" s="321"/>
      <c r="DP150" s="322"/>
      <c r="DQ150" s="288"/>
      <c r="DR150" s="241"/>
      <c r="DS150" s="429">
        <f t="shared" si="170"/>
        <v>0</v>
      </c>
      <c r="DT150" s="429"/>
      <c r="DU150" s="429"/>
      <c r="DV150" s="429"/>
      <c r="DW150" s="429"/>
      <c r="DX150" s="429"/>
      <c r="DY150" s="429"/>
      <c r="DZ150" s="134"/>
      <c r="EA150" s="134"/>
      <c r="EB150" s="134"/>
      <c r="EC150" s="134"/>
      <c r="ED150" s="123"/>
      <c r="EH150" s="46">
        <v>0</v>
      </c>
      <c r="EI150" s="45"/>
      <c r="EJ150" s="33" t="b">
        <f t="shared" si="171"/>
        <v>0</v>
      </c>
      <c r="EK150" s="42"/>
      <c r="EL150" s="42"/>
      <c r="EM150" s="42"/>
      <c r="EN150" s="439"/>
      <c r="EO150" s="439"/>
      <c r="EP150" s="439"/>
      <c r="EQ150" s="47"/>
      <c r="ER150" s="440"/>
      <c r="ES150" s="431"/>
      <c r="ET150" s="431"/>
      <c r="EU150" s="431"/>
      <c r="EV150" s="447"/>
      <c r="EZ150" s="393" t="s">
        <v>169</v>
      </c>
      <c r="FA150" s="393" t="s">
        <v>1384</v>
      </c>
      <c r="FB150" s="389">
        <v>319</v>
      </c>
      <c r="FC150" s="389">
        <v>324</v>
      </c>
      <c r="FD150" s="389">
        <v>363</v>
      </c>
      <c r="FE150" s="389">
        <v>386</v>
      </c>
      <c r="FF150" s="389">
        <v>409</v>
      </c>
      <c r="FG150" s="390">
        <v>2.4074074074074074E-2</v>
      </c>
      <c r="FH150" s="390">
        <v>1.2672176308539946E-2</v>
      </c>
      <c r="FI150" s="390">
        <v>1.1917098445595855E-2</v>
      </c>
      <c r="FJ150" s="391" t="s">
        <v>1389</v>
      </c>
      <c r="FK150" s="391">
        <v>-5.9585492227979354E-2</v>
      </c>
      <c r="FL150" s="31" t="s">
        <v>1394</v>
      </c>
      <c r="FN150" s="128"/>
      <c r="FO150" s="128" t="s">
        <v>1673</v>
      </c>
      <c r="FP150" s="128"/>
    </row>
    <row r="151" spans="1:177" ht="22" hidden="1" customHeight="1" x14ac:dyDescent="0.2">
      <c r="A151" s="13" t="s">
        <v>7</v>
      </c>
      <c r="B151" s="14" t="s">
        <v>34</v>
      </c>
      <c r="C151" s="9" t="s">
        <v>1049</v>
      </c>
      <c r="D151" s="14"/>
      <c r="E151" s="128" t="s">
        <v>170</v>
      </c>
      <c r="F151" s="15"/>
      <c r="G151" s="15" t="s">
        <v>634</v>
      </c>
      <c r="H151" s="91">
        <f t="shared" si="181"/>
        <v>1</v>
      </c>
      <c r="I151" s="95">
        <f t="shared" si="123"/>
        <v>0</v>
      </c>
      <c r="J151" s="91"/>
      <c r="K151" s="256">
        <f t="shared" si="137"/>
        <v>1</v>
      </c>
      <c r="L151" s="101">
        <v>0</v>
      </c>
      <c r="M151" s="99"/>
      <c r="N151" s="89"/>
      <c r="O151" s="98" t="str">
        <f t="shared" si="136"/>
        <v>_x000D__x000D_</v>
      </c>
      <c r="P151" s="98" t="str">
        <f>CONCATENATE(V151,R151,X151)</f>
        <v>_x000D__x000D_</v>
      </c>
      <c r="Q151" s="55"/>
      <c r="R151" s="64" t="s">
        <v>918</v>
      </c>
      <c r="S151" s="425"/>
      <c r="T151" s="300" t="s">
        <v>834</v>
      </c>
      <c r="U151" s="300" t="s">
        <v>834</v>
      </c>
      <c r="V151" s="300" t="s">
        <v>834</v>
      </c>
      <c r="W151" s="258"/>
      <c r="X151" s="307" t="s">
        <v>834</v>
      </c>
      <c r="Y151" s="274"/>
      <c r="Z151" s="426"/>
      <c r="AA151" s="320">
        <f t="shared" si="182"/>
        <v>0</v>
      </c>
      <c r="AB151" s="320">
        <f t="shared" si="183"/>
        <v>0</v>
      </c>
      <c r="AC151" s="320">
        <f t="shared" si="184"/>
        <v>0</v>
      </c>
      <c r="AD151" s="320">
        <f t="shared" si="185"/>
        <v>0</v>
      </c>
      <c r="AE151" s="320">
        <f t="shared" si="186"/>
        <v>0</v>
      </c>
      <c r="AF151" s="320">
        <f t="shared" si="187"/>
        <v>0</v>
      </c>
      <c r="AG151" s="320">
        <f t="shared" si="188"/>
        <v>0</v>
      </c>
      <c r="AH151" s="427"/>
      <c r="AI151" s="320">
        <f t="shared" si="189"/>
        <v>0</v>
      </c>
      <c r="AJ151" s="320">
        <f t="shared" si="190"/>
        <v>0</v>
      </c>
      <c r="AK151" s="320">
        <f t="shared" si="191"/>
        <v>0</v>
      </c>
      <c r="AL151" s="320">
        <f t="shared" si="192"/>
        <v>0</v>
      </c>
      <c r="AM151" s="320">
        <f t="shared" si="193"/>
        <v>0</v>
      </c>
      <c r="AN151" s="320">
        <f t="shared" si="194"/>
        <v>0</v>
      </c>
      <c r="AO151" s="427"/>
      <c r="AP151" s="320">
        <f t="shared" si="173"/>
        <v>0</v>
      </c>
      <c r="AQ151" s="320">
        <f t="shared" si="148"/>
        <v>0</v>
      </c>
      <c r="AR151" s="320">
        <f t="shared" si="149"/>
        <v>0</v>
      </c>
      <c r="AS151" s="320">
        <f t="shared" si="150"/>
        <v>0</v>
      </c>
      <c r="AT151" s="320">
        <f t="shared" si="151"/>
        <v>0</v>
      </c>
      <c r="AU151" s="320">
        <f t="shared" si="152"/>
        <v>0</v>
      </c>
      <c r="AV151" s="427"/>
      <c r="AW151" s="320">
        <f t="shared" si="153"/>
        <v>0</v>
      </c>
      <c r="AX151" s="320">
        <f t="shared" si="154"/>
        <v>0</v>
      </c>
      <c r="AY151" s="320">
        <f t="shared" si="155"/>
        <v>0</v>
      </c>
      <c r="AZ151" s="320">
        <f t="shared" si="156"/>
        <v>0</v>
      </c>
      <c r="BA151" s="17"/>
      <c r="BB151" s="17" t="s">
        <v>834</v>
      </c>
      <c r="BC151" s="17"/>
      <c r="BD151" s="17"/>
      <c r="BE151" s="17"/>
      <c r="BF151" s="17"/>
      <c r="BG151" s="428">
        <f t="shared" si="195"/>
        <v>0</v>
      </c>
      <c r="BH151" s="17"/>
      <c r="BI151" s="17"/>
      <c r="BJ151" s="17"/>
      <c r="BK151" s="17"/>
      <c r="BL151" s="17"/>
      <c r="BM151" s="17"/>
      <c r="BN151" s="320">
        <f t="shared" si="196"/>
        <v>0</v>
      </c>
      <c r="BO151" s="320">
        <f t="shared" si="197"/>
        <v>0</v>
      </c>
      <c r="BP151" s="427"/>
      <c r="BQ151" s="427"/>
      <c r="BR151" s="320">
        <f t="shared" si="199"/>
        <v>0</v>
      </c>
      <c r="BS151" s="320">
        <f t="shared" si="199"/>
        <v>0</v>
      </c>
      <c r="BT151" s="427"/>
      <c r="BU151" s="320">
        <f t="shared" si="198"/>
        <v>0</v>
      </c>
      <c r="BV151" s="320">
        <f t="shared" si="158"/>
        <v>0</v>
      </c>
      <c r="BW151" s="320">
        <f t="shared" si="175"/>
        <v>0</v>
      </c>
      <c r="BX151" s="427"/>
      <c r="BY151" s="320">
        <f t="shared" si="133"/>
        <v>0</v>
      </c>
      <c r="BZ151" s="320">
        <f t="shared" si="159"/>
        <v>0</v>
      </c>
      <c r="CA151" s="320">
        <f t="shared" si="127"/>
        <v>0</v>
      </c>
      <c r="CB151" s="320">
        <f t="shared" si="134"/>
        <v>0</v>
      </c>
      <c r="CC151" s="427"/>
      <c r="CD151" s="320">
        <f t="shared" si="160"/>
        <v>0</v>
      </c>
      <c r="CE151" s="320">
        <f t="shared" si="161"/>
        <v>0</v>
      </c>
      <c r="CF151" s="320">
        <f t="shared" si="162"/>
        <v>0</v>
      </c>
      <c r="CG151" s="320">
        <f t="shared" si="163"/>
        <v>0</v>
      </c>
      <c r="CH151" s="427"/>
      <c r="CI151" s="427"/>
      <c r="CJ151" s="427"/>
      <c r="CK151" s="427"/>
      <c r="CL151" s="320">
        <f t="shared" si="178"/>
        <v>0</v>
      </c>
      <c r="CM151" s="320">
        <f t="shared" si="164"/>
        <v>0</v>
      </c>
      <c r="CN151" s="320">
        <f t="shared" si="165"/>
        <v>0</v>
      </c>
      <c r="CO151" s="320">
        <f t="shared" si="166"/>
        <v>0</v>
      </c>
      <c r="CP151" s="427"/>
      <c r="CQ151" s="427"/>
      <c r="CR151" s="320">
        <f t="shared" si="167"/>
        <v>0</v>
      </c>
      <c r="CS151" s="320">
        <f t="shared" si="176"/>
        <v>0</v>
      </c>
      <c r="CT151" s="320">
        <f t="shared" si="120"/>
        <v>0</v>
      </c>
      <c r="CU151" s="320">
        <f t="shared" si="121"/>
        <v>0</v>
      </c>
      <c r="CV151" s="427"/>
      <c r="CW151" s="17"/>
      <c r="CX151" s="320">
        <f t="shared" si="122"/>
        <v>0</v>
      </c>
      <c r="CY151" s="320">
        <f t="shared" si="168"/>
        <v>0</v>
      </c>
      <c r="CZ151" s="320">
        <f t="shared" si="169"/>
        <v>0</v>
      </c>
      <c r="DA151" s="17"/>
      <c r="DB151" s="17"/>
      <c r="DC151" s="17"/>
      <c r="DD151" s="31"/>
      <c r="DE151" s="323"/>
      <c r="DF151" s="323"/>
      <c r="DG151" s="323"/>
      <c r="DH151" s="323"/>
      <c r="DI151" s="323"/>
      <c r="DJ151" s="323"/>
      <c r="DK151" s="323"/>
      <c r="DL151" s="323"/>
      <c r="DM151" s="323"/>
      <c r="DN151" s="323"/>
      <c r="DO151" s="323"/>
      <c r="DP151" s="324"/>
      <c r="DQ151" s="288"/>
      <c r="DR151" s="242"/>
      <c r="DS151" s="429">
        <f t="shared" si="170"/>
        <v>0</v>
      </c>
      <c r="DT151" s="429"/>
      <c r="DU151" s="429"/>
      <c r="DV151" s="429"/>
      <c r="DW151" s="429"/>
      <c r="DX151" s="429"/>
      <c r="DY151" s="429"/>
      <c r="DZ151" s="134"/>
      <c r="EA151" s="134"/>
      <c r="EB151" s="134"/>
      <c r="EC151" s="134"/>
      <c r="ED151" s="123"/>
      <c r="EH151" s="46">
        <v>0</v>
      </c>
      <c r="EI151" s="45"/>
      <c r="EJ151" s="33" t="b">
        <f t="shared" si="171"/>
        <v>0</v>
      </c>
      <c r="EK151" s="42"/>
      <c r="EL151" s="42"/>
      <c r="EM151" s="42"/>
      <c r="EN151" s="439"/>
      <c r="EO151" s="439"/>
      <c r="EP151" s="439"/>
      <c r="EQ151" s="47"/>
      <c r="ER151" s="440">
        <v>0</v>
      </c>
      <c r="ES151" s="431"/>
      <c r="ET151" s="431"/>
      <c r="EU151" s="431"/>
      <c r="EV151" s="447"/>
      <c r="EZ151" s="393" t="s">
        <v>170</v>
      </c>
      <c r="FA151" s="393" t="s">
        <v>170</v>
      </c>
      <c r="FB151" s="389">
        <v>6371</v>
      </c>
      <c r="FC151" s="389">
        <v>6366</v>
      </c>
      <c r="FD151" s="389">
        <v>6391</v>
      </c>
      <c r="FE151" s="389">
        <v>6515</v>
      </c>
      <c r="FF151" s="389">
        <v>6861</v>
      </c>
      <c r="FG151" s="390">
        <v>7.8542255733584656E-4</v>
      </c>
      <c r="FH151" s="390">
        <v>3.8804568925050855E-3</v>
      </c>
      <c r="FI151" s="390">
        <v>1.0621642363775902E-2</v>
      </c>
      <c r="FJ151" s="391" t="s">
        <v>1389</v>
      </c>
      <c r="FK151" s="391">
        <v>1.7372143688262818</v>
      </c>
      <c r="FL151" s="31" t="s">
        <v>1396</v>
      </c>
      <c r="FN151" s="128" t="s">
        <v>1674</v>
      </c>
      <c r="FO151" s="128" t="s">
        <v>1675</v>
      </c>
      <c r="FP151" s="128"/>
    </row>
    <row r="152" spans="1:177" ht="22" hidden="1" customHeight="1" x14ac:dyDescent="0.2">
      <c r="A152" s="13" t="s">
        <v>7</v>
      </c>
      <c r="B152" s="14" t="s">
        <v>34</v>
      </c>
      <c r="C152" s="14"/>
      <c r="D152" s="14"/>
      <c r="E152" s="128" t="s">
        <v>171</v>
      </c>
      <c r="F152" s="15"/>
      <c r="G152" s="15" t="s">
        <v>634</v>
      </c>
      <c r="H152" s="91">
        <f t="shared" si="181"/>
        <v>1</v>
      </c>
      <c r="I152" s="95">
        <f t="shared" si="123"/>
        <v>0</v>
      </c>
      <c r="J152" s="91"/>
      <c r="K152" s="256">
        <f t="shared" si="137"/>
        <v>1</v>
      </c>
      <c r="L152" s="101">
        <v>0</v>
      </c>
      <c r="M152" s="99"/>
      <c r="N152" s="89"/>
      <c r="O152" s="98" t="str">
        <f t="shared" si="136"/>
        <v>_x000D__x000D_</v>
      </c>
      <c r="P152" s="98"/>
      <c r="Q152" s="55"/>
      <c r="R152" s="64" t="s">
        <v>918</v>
      </c>
      <c r="S152" s="425"/>
      <c r="T152" s="300" t="s">
        <v>834</v>
      </c>
      <c r="U152" s="300" t="s">
        <v>834</v>
      </c>
      <c r="V152" s="300" t="s">
        <v>834</v>
      </c>
      <c r="W152" s="258"/>
      <c r="X152" s="307" t="s">
        <v>834</v>
      </c>
      <c r="Y152" s="274"/>
      <c r="Z152" s="426"/>
      <c r="AA152" s="320">
        <f t="shared" si="182"/>
        <v>0</v>
      </c>
      <c r="AB152" s="320">
        <f t="shared" si="183"/>
        <v>0</v>
      </c>
      <c r="AC152" s="320">
        <f t="shared" si="184"/>
        <v>0</v>
      </c>
      <c r="AD152" s="320">
        <f t="shared" si="185"/>
        <v>0</v>
      </c>
      <c r="AE152" s="320">
        <f t="shared" si="186"/>
        <v>0</v>
      </c>
      <c r="AF152" s="320">
        <f t="shared" si="187"/>
        <v>0</v>
      </c>
      <c r="AG152" s="320">
        <f t="shared" si="188"/>
        <v>0</v>
      </c>
      <c r="AH152" s="427"/>
      <c r="AI152" s="320">
        <f t="shared" si="189"/>
        <v>0</v>
      </c>
      <c r="AJ152" s="320">
        <f t="shared" si="190"/>
        <v>0</v>
      </c>
      <c r="AK152" s="320">
        <f t="shared" si="191"/>
        <v>0</v>
      </c>
      <c r="AL152" s="320">
        <f t="shared" si="192"/>
        <v>0</v>
      </c>
      <c r="AM152" s="320">
        <f t="shared" si="193"/>
        <v>0</v>
      </c>
      <c r="AN152" s="320">
        <f t="shared" si="194"/>
        <v>0</v>
      </c>
      <c r="AO152" s="427"/>
      <c r="AP152" s="320">
        <f t="shared" si="173"/>
        <v>0</v>
      </c>
      <c r="AQ152" s="320">
        <f t="shared" si="148"/>
        <v>0</v>
      </c>
      <c r="AR152" s="320">
        <f t="shared" si="149"/>
        <v>0</v>
      </c>
      <c r="AS152" s="320">
        <f t="shared" si="150"/>
        <v>0</v>
      </c>
      <c r="AT152" s="320">
        <f t="shared" si="151"/>
        <v>0</v>
      </c>
      <c r="AU152" s="320">
        <f t="shared" si="152"/>
        <v>0</v>
      </c>
      <c r="AV152" s="427"/>
      <c r="AW152" s="320">
        <f t="shared" si="153"/>
        <v>0</v>
      </c>
      <c r="AX152" s="320">
        <f t="shared" si="154"/>
        <v>0</v>
      </c>
      <c r="AY152" s="320">
        <f t="shared" si="155"/>
        <v>0</v>
      </c>
      <c r="AZ152" s="320">
        <f t="shared" si="156"/>
        <v>0</v>
      </c>
      <c r="BA152" s="17"/>
      <c r="BB152" s="17" t="s">
        <v>834</v>
      </c>
      <c r="BC152" s="17"/>
      <c r="BD152" s="17"/>
      <c r="BE152" s="17"/>
      <c r="BF152" s="17"/>
      <c r="BG152" s="428">
        <f t="shared" si="195"/>
        <v>0</v>
      </c>
      <c r="BH152" s="17"/>
      <c r="BI152" s="17"/>
      <c r="BJ152" s="17"/>
      <c r="BK152" s="17"/>
      <c r="BL152" s="17"/>
      <c r="BM152" s="17"/>
      <c r="BN152" s="320">
        <f t="shared" si="196"/>
        <v>0</v>
      </c>
      <c r="BO152" s="320">
        <f t="shared" si="197"/>
        <v>0</v>
      </c>
      <c r="BP152" s="427"/>
      <c r="BQ152" s="427"/>
      <c r="BR152" s="320">
        <f t="shared" si="199"/>
        <v>0</v>
      </c>
      <c r="BS152" s="320">
        <f t="shared" si="199"/>
        <v>0</v>
      </c>
      <c r="BT152" s="427"/>
      <c r="BU152" s="320">
        <f t="shared" si="198"/>
        <v>0</v>
      </c>
      <c r="BV152" s="320">
        <f t="shared" si="158"/>
        <v>0</v>
      </c>
      <c r="BW152" s="320">
        <f t="shared" si="175"/>
        <v>0</v>
      </c>
      <c r="BX152" s="427"/>
      <c r="BY152" s="320">
        <f t="shared" si="133"/>
        <v>0</v>
      </c>
      <c r="BZ152" s="320">
        <f t="shared" si="159"/>
        <v>0</v>
      </c>
      <c r="CA152" s="320">
        <f t="shared" si="127"/>
        <v>0</v>
      </c>
      <c r="CB152" s="320">
        <f t="shared" si="134"/>
        <v>0</v>
      </c>
      <c r="CC152" s="427"/>
      <c r="CD152" s="320">
        <f t="shared" si="160"/>
        <v>0</v>
      </c>
      <c r="CE152" s="320">
        <f t="shared" si="161"/>
        <v>0</v>
      </c>
      <c r="CF152" s="320">
        <f t="shared" si="162"/>
        <v>0</v>
      </c>
      <c r="CG152" s="320">
        <f t="shared" si="163"/>
        <v>0</v>
      </c>
      <c r="CH152" s="427"/>
      <c r="CI152" s="427"/>
      <c r="CJ152" s="427"/>
      <c r="CK152" s="427"/>
      <c r="CL152" s="320">
        <f t="shared" si="178"/>
        <v>0</v>
      </c>
      <c r="CM152" s="320">
        <f t="shared" si="164"/>
        <v>0</v>
      </c>
      <c r="CN152" s="320">
        <f t="shared" si="165"/>
        <v>0</v>
      </c>
      <c r="CO152" s="320">
        <f t="shared" si="166"/>
        <v>0</v>
      </c>
      <c r="CP152" s="427"/>
      <c r="CQ152" s="427"/>
      <c r="CR152" s="320">
        <f t="shared" si="167"/>
        <v>0</v>
      </c>
      <c r="CS152" s="320">
        <f t="shared" si="176"/>
        <v>0</v>
      </c>
      <c r="CT152" s="320">
        <f t="shared" si="120"/>
        <v>0</v>
      </c>
      <c r="CU152" s="320">
        <f t="shared" si="121"/>
        <v>0</v>
      </c>
      <c r="CV152" s="427"/>
      <c r="CW152" s="17"/>
      <c r="CX152" s="320">
        <f t="shared" si="122"/>
        <v>0</v>
      </c>
      <c r="CY152" s="320">
        <f t="shared" si="168"/>
        <v>0</v>
      </c>
      <c r="CZ152" s="320">
        <f t="shared" si="169"/>
        <v>0</v>
      </c>
      <c r="DA152" s="17"/>
      <c r="DB152" s="17"/>
      <c r="DC152" s="17"/>
      <c r="DD152" s="31"/>
      <c r="DE152" s="321"/>
      <c r="DF152" s="321"/>
      <c r="DG152" s="321"/>
      <c r="DH152" s="321"/>
      <c r="DI152" s="321"/>
      <c r="DJ152" s="321"/>
      <c r="DK152" s="321"/>
      <c r="DL152" s="321"/>
      <c r="DM152" s="321"/>
      <c r="DN152" s="321"/>
      <c r="DO152" s="321"/>
      <c r="DP152" s="322"/>
      <c r="DQ152" s="288"/>
      <c r="DR152" s="241"/>
      <c r="DS152" s="429">
        <f t="shared" si="170"/>
        <v>0</v>
      </c>
      <c r="DT152" s="429"/>
      <c r="DU152" s="429"/>
      <c r="DV152" s="429"/>
      <c r="DW152" s="429"/>
      <c r="DX152" s="429"/>
      <c r="DY152" s="429"/>
      <c r="DZ152" s="134"/>
      <c r="EA152" s="134"/>
      <c r="EB152" s="134"/>
      <c r="EC152" s="134"/>
      <c r="ED152" s="123"/>
      <c r="EH152" s="44"/>
      <c r="EI152" s="45"/>
      <c r="EJ152" s="33" t="b">
        <f t="shared" si="171"/>
        <v>0</v>
      </c>
      <c r="EK152" s="42"/>
      <c r="EL152" s="42"/>
      <c r="EM152" s="42"/>
      <c r="EN152" s="439"/>
      <c r="EO152" s="439"/>
      <c r="EP152" s="439"/>
      <c r="EQ152" s="38"/>
      <c r="ER152" s="440"/>
      <c r="ES152" s="431"/>
      <c r="ET152" s="431"/>
      <c r="EU152" s="431"/>
      <c r="EV152" s="447"/>
      <c r="EZ152" s="393" t="s">
        <v>171</v>
      </c>
      <c r="FA152" s="393" t="s">
        <v>171</v>
      </c>
      <c r="FB152" s="389">
        <v>808949.9</v>
      </c>
      <c r="FC152" s="389">
        <v>809268.5</v>
      </c>
      <c r="FD152" s="389">
        <v>808790</v>
      </c>
      <c r="FE152" s="389">
        <v>815135.6</v>
      </c>
      <c r="FF152" s="389">
        <v>814930.5</v>
      </c>
      <c r="FG152" s="390">
        <v>-1.182549425808616E-4</v>
      </c>
      <c r="FH152" s="390">
        <v>1.5691588669493877E-3</v>
      </c>
      <c r="FI152" s="390">
        <v>-5.0322915598331545E-5</v>
      </c>
      <c r="FJ152" s="391" t="s">
        <v>1389</v>
      </c>
      <c r="FK152" s="391">
        <v>-1.0320699940957314</v>
      </c>
      <c r="FL152" s="31" t="s">
        <v>1390</v>
      </c>
      <c r="FN152" s="128" t="s">
        <v>1676</v>
      </c>
      <c r="FO152" s="128" t="s">
        <v>1677</v>
      </c>
      <c r="FP152" s="128"/>
    </row>
    <row r="153" spans="1:177" ht="22" hidden="1" customHeight="1" x14ac:dyDescent="0.2">
      <c r="A153" s="13" t="s">
        <v>10</v>
      </c>
      <c r="B153" s="14" t="s">
        <v>51</v>
      </c>
      <c r="C153" s="14"/>
      <c r="D153" s="14"/>
      <c r="E153" s="129" t="s">
        <v>172</v>
      </c>
      <c r="F153" s="15"/>
      <c r="G153" s="15" t="s">
        <v>634</v>
      </c>
      <c r="H153" s="91">
        <f t="shared" si="181"/>
        <v>1</v>
      </c>
      <c r="I153" s="95">
        <f t="shared" si="123"/>
        <v>2</v>
      </c>
      <c r="J153" s="91"/>
      <c r="K153" s="256">
        <f t="shared" si="137"/>
        <v>3</v>
      </c>
      <c r="L153" s="101" t="s">
        <v>640</v>
      </c>
      <c r="M153" s="99"/>
      <c r="N153" s="106">
        <v>2000000</v>
      </c>
      <c r="O153" s="98" t="str">
        <f t="shared" si="136"/>
        <v>_x000D__x000D_</v>
      </c>
      <c r="P153" s="98"/>
      <c r="Q153" s="55"/>
      <c r="R153" s="64" t="s">
        <v>918</v>
      </c>
      <c r="S153" s="425"/>
      <c r="T153" s="300" t="s">
        <v>860</v>
      </c>
      <c r="U153" s="300" t="s">
        <v>902</v>
      </c>
      <c r="V153" s="300" t="s">
        <v>834</v>
      </c>
      <c r="W153" s="258"/>
      <c r="X153" s="307" t="s">
        <v>834</v>
      </c>
      <c r="Y153" s="274"/>
      <c r="Z153" s="426"/>
      <c r="AA153" s="320">
        <f t="shared" si="182"/>
        <v>0</v>
      </c>
      <c r="AB153" s="320">
        <f t="shared" si="183"/>
        <v>0</v>
      </c>
      <c r="AC153" s="320">
        <f t="shared" si="184"/>
        <v>0</v>
      </c>
      <c r="AD153" s="320">
        <f t="shared" si="185"/>
        <v>0</v>
      </c>
      <c r="AE153" s="320">
        <f t="shared" si="186"/>
        <v>0</v>
      </c>
      <c r="AF153" s="320">
        <f t="shared" si="187"/>
        <v>0</v>
      </c>
      <c r="AG153" s="320">
        <f t="shared" si="188"/>
        <v>0</v>
      </c>
      <c r="AH153" s="427"/>
      <c r="AI153" s="320">
        <f t="shared" si="189"/>
        <v>0</v>
      </c>
      <c r="AJ153" s="320">
        <f t="shared" si="190"/>
        <v>0</v>
      </c>
      <c r="AK153" s="320">
        <f t="shared" si="191"/>
        <v>0</v>
      </c>
      <c r="AL153" s="320">
        <f t="shared" si="192"/>
        <v>0</v>
      </c>
      <c r="AM153" s="320">
        <f t="shared" si="193"/>
        <v>0</v>
      </c>
      <c r="AN153" s="320">
        <f t="shared" si="194"/>
        <v>0</v>
      </c>
      <c r="AO153" s="427"/>
      <c r="AP153" s="320">
        <f t="shared" si="173"/>
        <v>0</v>
      </c>
      <c r="AQ153" s="320">
        <f t="shared" si="148"/>
        <v>0</v>
      </c>
      <c r="AR153" s="320">
        <f t="shared" si="149"/>
        <v>0</v>
      </c>
      <c r="AS153" s="320">
        <f t="shared" si="150"/>
        <v>0</v>
      </c>
      <c r="AT153" s="320">
        <f t="shared" si="151"/>
        <v>0</v>
      </c>
      <c r="AU153" s="320">
        <f t="shared" si="152"/>
        <v>0</v>
      </c>
      <c r="AV153" s="427"/>
      <c r="AW153" s="320">
        <f t="shared" si="153"/>
        <v>0</v>
      </c>
      <c r="AX153" s="320">
        <f t="shared" si="154"/>
        <v>0</v>
      </c>
      <c r="AY153" s="320">
        <f t="shared" si="155"/>
        <v>0</v>
      </c>
      <c r="AZ153" s="320">
        <f t="shared" si="156"/>
        <v>0</v>
      </c>
      <c r="BA153" s="17"/>
      <c r="BB153" s="17" t="s">
        <v>860</v>
      </c>
      <c r="BC153" s="17"/>
      <c r="BD153" s="17"/>
      <c r="BE153" s="17"/>
      <c r="BF153" s="17"/>
      <c r="BG153" s="428">
        <f t="shared" si="195"/>
        <v>0</v>
      </c>
      <c r="BH153" s="17"/>
      <c r="BI153" s="17" t="s">
        <v>653</v>
      </c>
      <c r="BJ153" s="17"/>
      <c r="BK153" s="17"/>
      <c r="BL153" s="17"/>
      <c r="BM153" s="17"/>
      <c r="BN153" s="320">
        <f t="shared" si="196"/>
        <v>0</v>
      </c>
      <c r="BO153" s="320">
        <f t="shared" si="197"/>
        <v>0</v>
      </c>
      <c r="BP153" s="427"/>
      <c r="BQ153" s="427"/>
      <c r="BR153" s="320">
        <f t="shared" si="199"/>
        <v>0</v>
      </c>
      <c r="BS153" s="320">
        <f t="shared" si="199"/>
        <v>0</v>
      </c>
      <c r="BT153" s="427"/>
      <c r="BU153" s="320">
        <f t="shared" si="198"/>
        <v>0</v>
      </c>
      <c r="BV153" s="320">
        <f t="shared" si="158"/>
        <v>0</v>
      </c>
      <c r="BW153" s="320">
        <f t="shared" si="175"/>
        <v>0</v>
      </c>
      <c r="BX153" s="427"/>
      <c r="BY153" s="320">
        <f t="shared" si="133"/>
        <v>0</v>
      </c>
      <c r="BZ153" s="320">
        <f t="shared" si="159"/>
        <v>0</v>
      </c>
      <c r="CA153" s="320">
        <f t="shared" si="127"/>
        <v>0</v>
      </c>
      <c r="CB153" s="320">
        <f t="shared" si="134"/>
        <v>0</v>
      </c>
      <c r="CC153" s="427"/>
      <c r="CD153" s="320">
        <f t="shared" si="160"/>
        <v>0</v>
      </c>
      <c r="CE153" s="320">
        <f t="shared" si="161"/>
        <v>0</v>
      </c>
      <c r="CF153" s="320">
        <f t="shared" si="162"/>
        <v>0</v>
      </c>
      <c r="CG153" s="320">
        <f t="shared" si="163"/>
        <v>0</v>
      </c>
      <c r="CH153" s="427"/>
      <c r="CI153" s="427"/>
      <c r="CJ153" s="427"/>
      <c r="CK153" s="427"/>
      <c r="CL153" s="320">
        <f t="shared" si="178"/>
        <v>0</v>
      </c>
      <c r="CM153" s="320">
        <f t="shared" si="164"/>
        <v>0</v>
      </c>
      <c r="CN153" s="320">
        <f t="shared" si="165"/>
        <v>0</v>
      </c>
      <c r="CO153" s="320">
        <f t="shared" si="166"/>
        <v>0</v>
      </c>
      <c r="CP153" s="427"/>
      <c r="CQ153" s="427"/>
      <c r="CR153" s="320">
        <f t="shared" si="167"/>
        <v>0</v>
      </c>
      <c r="CS153" s="320">
        <f t="shared" si="176"/>
        <v>0</v>
      </c>
      <c r="CT153" s="320">
        <f t="shared" si="120"/>
        <v>0</v>
      </c>
      <c r="CU153" s="320">
        <f t="shared" si="121"/>
        <v>0</v>
      </c>
      <c r="CV153" s="427"/>
      <c r="CW153" s="17"/>
      <c r="CX153" s="320">
        <f t="shared" si="122"/>
        <v>0</v>
      </c>
      <c r="CY153" s="320">
        <f t="shared" si="168"/>
        <v>0</v>
      </c>
      <c r="CZ153" s="320">
        <f t="shared" si="169"/>
        <v>0</v>
      </c>
      <c r="DA153" s="17"/>
      <c r="DB153" s="17"/>
      <c r="DC153" s="17"/>
      <c r="DD153" s="31"/>
      <c r="DE153" s="323"/>
      <c r="DF153" s="323"/>
      <c r="DG153" s="323"/>
      <c r="DH153" s="323"/>
      <c r="DI153" s="323"/>
      <c r="DJ153" s="323"/>
      <c r="DK153" s="323"/>
      <c r="DL153" s="323"/>
      <c r="DM153" s="323"/>
      <c r="DN153" s="323"/>
      <c r="DO153" s="323"/>
      <c r="DP153" s="324"/>
      <c r="DQ153" s="288"/>
      <c r="DR153" s="244"/>
      <c r="DS153" s="429">
        <f t="shared" si="170"/>
        <v>0</v>
      </c>
      <c r="DT153" s="429">
        <f>SUM(BA153:BF153)/5</f>
        <v>0</v>
      </c>
      <c r="DU153" s="429"/>
      <c r="DV153" s="429"/>
      <c r="DW153" s="429"/>
      <c r="DX153" s="429"/>
      <c r="DY153" s="444"/>
      <c r="DZ153" s="134"/>
      <c r="EA153" s="134"/>
      <c r="EB153" s="134"/>
      <c r="EC153" s="134"/>
      <c r="ED153" s="123"/>
      <c r="EH153" s="44">
        <v>0</v>
      </c>
      <c r="EI153" s="45"/>
      <c r="EJ153" s="33" t="e">
        <f t="shared" si="171"/>
        <v>#VALUE!</v>
      </c>
      <c r="EK153" s="42"/>
      <c r="EL153" s="42"/>
      <c r="EM153" s="42"/>
      <c r="EN153" s="439"/>
      <c r="EO153" s="439"/>
      <c r="EP153" s="439"/>
      <c r="EQ153" s="38"/>
      <c r="ER153" s="440">
        <v>1</v>
      </c>
      <c r="ES153" s="431"/>
      <c r="ET153" s="431"/>
      <c r="EU153" s="431"/>
      <c r="EV153" s="447"/>
      <c r="EZ153" s="393" t="s">
        <v>172</v>
      </c>
      <c r="FA153" s="393" t="s">
        <v>172</v>
      </c>
      <c r="FB153" s="389">
        <v>318</v>
      </c>
      <c r="FC153" s="389">
        <v>344</v>
      </c>
      <c r="FD153" s="389">
        <v>385</v>
      </c>
      <c r="FE153" s="389">
        <v>446</v>
      </c>
      <c r="FF153" s="389">
        <v>480</v>
      </c>
      <c r="FG153" s="390">
        <v>2.3837209302325583E-2</v>
      </c>
      <c r="FH153" s="390">
        <v>3.1688311688311689E-2</v>
      </c>
      <c r="FI153" s="390">
        <v>1.5246636771300448E-2</v>
      </c>
      <c r="FJ153" s="391" t="s">
        <v>1389</v>
      </c>
      <c r="FK153" s="391">
        <v>-0.51885613467617442</v>
      </c>
      <c r="FL153" s="31" t="s">
        <v>1394</v>
      </c>
      <c r="FN153" s="129" t="s">
        <v>1678</v>
      </c>
      <c r="FO153" s="129" t="s">
        <v>1679</v>
      </c>
      <c r="FP153" s="129"/>
    </row>
    <row r="154" spans="1:177" ht="22" hidden="1" customHeight="1" x14ac:dyDescent="0.2">
      <c r="A154" s="13" t="s">
        <v>16</v>
      </c>
      <c r="B154" s="19" t="s">
        <v>17</v>
      </c>
      <c r="C154" s="19"/>
      <c r="D154" s="19"/>
      <c r="E154" s="128" t="s">
        <v>173</v>
      </c>
      <c r="F154" s="15"/>
      <c r="G154" s="15" t="s">
        <v>635</v>
      </c>
      <c r="H154" s="91">
        <f t="shared" si="181"/>
        <v>0</v>
      </c>
      <c r="I154" s="95">
        <f t="shared" si="123"/>
        <v>0</v>
      </c>
      <c r="J154" s="91"/>
      <c r="K154" s="256">
        <f t="shared" si="137"/>
        <v>0</v>
      </c>
      <c r="L154" s="101">
        <v>0</v>
      </c>
      <c r="M154" s="99"/>
      <c r="N154" s="89"/>
      <c r="O154" s="98" t="str">
        <f t="shared" si="136"/>
        <v>_x000D__x000D_</v>
      </c>
      <c r="P154" s="98"/>
      <c r="Q154" s="55"/>
      <c r="R154" s="64" t="s">
        <v>918</v>
      </c>
      <c r="S154" s="425"/>
      <c r="T154" s="300" t="s">
        <v>854</v>
      </c>
      <c r="U154" s="300" t="s">
        <v>834</v>
      </c>
      <c r="V154" s="300" t="s">
        <v>834</v>
      </c>
      <c r="W154" s="258"/>
      <c r="X154" s="307" t="s">
        <v>834</v>
      </c>
      <c r="Y154" s="274"/>
      <c r="Z154" s="426"/>
      <c r="AA154" s="320">
        <f t="shared" si="182"/>
        <v>0</v>
      </c>
      <c r="AB154" s="320">
        <f t="shared" si="183"/>
        <v>0</v>
      </c>
      <c r="AC154" s="320">
        <f t="shared" si="184"/>
        <v>0</v>
      </c>
      <c r="AD154" s="320">
        <f t="shared" si="185"/>
        <v>0</v>
      </c>
      <c r="AE154" s="320">
        <f t="shared" si="186"/>
        <v>0</v>
      </c>
      <c r="AF154" s="320">
        <f t="shared" si="187"/>
        <v>0</v>
      </c>
      <c r="AG154" s="320">
        <f t="shared" si="188"/>
        <v>0</v>
      </c>
      <c r="AH154" s="427"/>
      <c r="AI154" s="320">
        <f t="shared" si="189"/>
        <v>0</v>
      </c>
      <c r="AJ154" s="320">
        <f t="shared" si="190"/>
        <v>0</v>
      </c>
      <c r="AK154" s="320">
        <f t="shared" si="191"/>
        <v>0</v>
      </c>
      <c r="AL154" s="320">
        <f t="shared" si="192"/>
        <v>0</v>
      </c>
      <c r="AM154" s="320">
        <f t="shared" si="193"/>
        <v>0</v>
      </c>
      <c r="AN154" s="320">
        <f t="shared" si="194"/>
        <v>0</v>
      </c>
      <c r="AO154" s="427"/>
      <c r="AP154" s="320">
        <f t="shared" si="173"/>
        <v>0</v>
      </c>
      <c r="AQ154" s="320">
        <f t="shared" si="148"/>
        <v>0</v>
      </c>
      <c r="AR154" s="320">
        <f t="shared" si="149"/>
        <v>0</v>
      </c>
      <c r="AS154" s="320">
        <f t="shared" si="150"/>
        <v>0</v>
      </c>
      <c r="AT154" s="320">
        <f t="shared" si="151"/>
        <v>0</v>
      </c>
      <c r="AU154" s="320">
        <f t="shared" si="152"/>
        <v>0</v>
      </c>
      <c r="AV154" s="427"/>
      <c r="AW154" s="320">
        <f t="shared" si="153"/>
        <v>0</v>
      </c>
      <c r="AX154" s="320">
        <f t="shared" si="154"/>
        <v>0</v>
      </c>
      <c r="AY154" s="320">
        <f t="shared" si="155"/>
        <v>0</v>
      </c>
      <c r="AZ154" s="320">
        <f t="shared" si="156"/>
        <v>0</v>
      </c>
      <c r="BA154" s="17">
        <v>1</v>
      </c>
      <c r="BB154" s="17" t="s">
        <v>854</v>
      </c>
      <c r="BC154" s="17"/>
      <c r="BD154" s="17"/>
      <c r="BE154" s="17"/>
      <c r="BF154" s="17"/>
      <c r="BG154" s="428">
        <f t="shared" si="195"/>
        <v>0</v>
      </c>
      <c r="BH154" s="17"/>
      <c r="BI154" s="17"/>
      <c r="BJ154" s="17"/>
      <c r="BK154" s="17"/>
      <c r="BL154" s="17"/>
      <c r="BM154" s="17"/>
      <c r="BN154" s="320">
        <f t="shared" si="196"/>
        <v>0</v>
      </c>
      <c r="BO154" s="320">
        <f t="shared" si="197"/>
        <v>0</v>
      </c>
      <c r="BP154" s="427"/>
      <c r="BQ154" s="427"/>
      <c r="BR154" s="320">
        <f t="shared" si="199"/>
        <v>0</v>
      </c>
      <c r="BS154" s="320">
        <f t="shared" si="199"/>
        <v>0</v>
      </c>
      <c r="BT154" s="427"/>
      <c r="BU154" s="320">
        <f t="shared" si="198"/>
        <v>0</v>
      </c>
      <c r="BV154" s="320">
        <f t="shared" si="158"/>
        <v>0</v>
      </c>
      <c r="BW154" s="320">
        <f t="shared" si="175"/>
        <v>0</v>
      </c>
      <c r="BX154" s="427"/>
      <c r="BY154" s="320">
        <f t="shared" si="133"/>
        <v>0</v>
      </c>
      <c r="BZ154" s="320">
        <f t="shared" si="159"/>
        <v>0</v>
      </c>
      <c r="CA154" s="320">
        <f t="shared" si="127"/>
        <v>0</v>
      </c>
      <c r="CB154" s="320">
        <f t="shared" si="134"/>
        <v>0</v>
      </c>
      <c r="CC154" s="427"/>
      <c r="CD154" s="320">
        <f t="shared" si="160"/>
        <v>0</v>
      </c>
      <c r="CE154" s="320">
        <f t="shared" si="161"/>
        <v>0</v>
      </c>
      <c r="CF154" s="320">
        <f t="shared" si="162"/>
        <v>0</v>
      </c>
      <c r="CG154" s="320">
        <f t="shared" si="163"/>
        <v>0</v>
      </c>
      <c r="CH154" s="427"/>
      <c r="CI154" s="427"/>
      <c r="CJ154" s="427"/>
      <c r="CK154" s="427"/>
      <c r="CL154" s="320">
        <f t="shared" si="178"/>
        <v>0</v>
      </c>
      <c r="CM154" s="320">
        <f t="shared" si="164"/>
        <v>0</v>
      </c>
      <c r="CN154" s="320">
        <f t="shared" si="165"/>
        <v>0</v>
      </c>
      <c r="CO154" s="320">
        <f t="shared" si="166"/>
        <v>0</v>
      </c>
      <c r="CP154" s="427"/>
      <c r="CQ154" s="427"/>
      <c r="CR154" s="320">
        <f t="shared" si="167"/>
        <v>0</v>
      </c>
      <c r="CS154" s="320">
        <f t="shared" si="176"/>
        <v>0</v>
      </c>
      <c r="CT154" s="320">
        <f t="shared" si="120"/>
        <v>0</v>
      </c>
      <c r="CU154" s="320">
        <f t="shared" si="121"/>
        <v>0</v>
      </c>
      <c r="CV154" s="427"/>
      <c r="CW154" s="17"/>
      <c r="CX154" s="320">
        <f t="shared" si="122"/>
        <v>0</v>
      </c>
      <c r="CY154" s="320">
        <f t="shared" si="168"/>
        <v>0</v>
      </c>
      <c r="CZ154" s="320">
        <f t="shared" si="169"/>
        <v>0</v>
      </c>
      <c r="DA154" s="17"/>
      <c r="DB154" s="17"/>
      <c r="DC154" s="17"/>
      <c r="DD154" s="31"/>
      <c r="DE154" s="321"/>
      <c r="DF154" s="321"/>
      <c r="DG154" s="321"/>
      <c r="DH154" s="321"/>
      <c r="DI154" s="321"/>
      <c r="DJ154" s="321"/>
      <c r="DK154" s="321"/>
      <c r="DL154" s="321"/>
      <c r="DM154" s="321"/>
      <c r="DN154" s="321"/>
      <c r="DO154" s="321"/>
      <c r="DP154" s="322"/>
      <c r="DQ154" s="288"/>
      <c r="DR154" s="241"/>
      <c r="DS154" s="429">
        <f t="shared" si="170"/>
        <v>0</v>
      </c>
      <c r="DT154" s="429"/>
      <c r="DU154" s="429"/>
      <c r="DV154" s="429"/>
      <c r="DW154" s="429"/>
      <c r="DX154" s="429"/>
      <c r="DY154" s="429"/>
      <c r="DZ154" s="134"/>
      <c r="EA154" s="134"/>
      <c r="EB154" s="134"/>
      <c r="EC154" s="134"/>
      <c r="ED154" s="123"/>
      <c r="EH154" s="46"/>
      <c r="EI154" s="45"/>
      <c r="EJ154" s="33" t="b">
        <f t="shared" si="171"/>
        <v>0</v>
      </c>
      <c r="EK154" s="42"/>
      <c r="EL154" s="42"/>
      <c r="EM154" s="42"/>
      <c r="EN154" s="439"/>
      <c r="EO154" s="439"/>
      <c r="EP154" s="439"/>
      <c r="EQ154" s="47"/>
      <c r="ER154" s="440"/>
      <c r="ES154" s="431"/>
      <c r="ET154" s="431"/>
      <c r="EU154" s="431"/>
      <c r="EV154" s="447"/>
      <c r="EZ154" s="393" t="s">
        <v>173</v>
      </c>
      <c r="FA154" s="393" t="s">
        <v>173</v>
      </c>
      <c r="FB154" s="389">
        <v>11</v>
      </c>
      <c r="FC154" s="389">
        <v>11</v>
      </c>
      <c r="FD154" s="389">
        <v>11</v>
      </c>
      <c r="FE154" s="389">
        <v>11</v>
      </c>
      <c r="FF154" s="389">
        <v>11</v>
      </c>
      <c r="FG154" s="390">
        <v>0</v>
      </c>
      <c r="FH154" s="390">
        <v>0</v>
      </c>
      <c r="FI154" s="390">
        <v>0</v>
      </c>
      <c r="FJ154" s="391">
        <v>0</v>
      </c>
      <c r="FK154" s="391" t="s">
        <v>1386</v>
      </c>
      <c r="FL154" s="31" t="s">
        <v>1387</v>
      </c>
      <c r="FN154" s="128" t="s">
        <v>1680</v>
      </c>
      <c r="FO154" s="128" t="s">
        <v>1681</v>
      </c>
      <c r="FP154" s="128"/>
    </row>
    <row r="155" spans="1:177" ht="22" hidden="1" customHeight="1" x14ac:dyDescent="0.2">
      <c r="A155" s="13" t="s">
        <v>16</v>
      </c>
      <c r="B155" s="19" t="s">
        <v>17</v>
      </c>
      <c r="C155" s="19"/>
      <c r="D155" s="19"/>
      <c r="E155" s="128" t="s">
        <v>174</v>
      </c>
      <c r="F155" s="15"/>
      <c r="G155" s="15" t="s">
        <v>634</v>
      </c>
      <c r="H155" s="91">
        <f t="shared" si="181"/>
        <v>1</v>
      </c>
      <c r="I155" s="95">
        <f t="shared" si="123"/>
        <v>0</v>
      </c>
      <c r="J155" s="94"/>
      <c r="K155" s="256">
        <f t="shared" si="137"/>
        <v>1</v>
      </c>
      <c r="L155" s="285">
        <v>0</v>
      </c>
      <c r="M155" s="102"/>
      <c r="N155" s="89"/>
      <c r="O155" s="98" t="str">
        <f t="shared" si="136"/>
        <v>_x000D__x000D_</v>
      </c>
      <c r="P155" s="98"/>
      <c r="Q155" s="55"/>
      <c r="R155" s="64" t="s">
        <v>918</v>
      </c>
      <c r="S155" s="425"/>
      <c r="T155" s="300" t="s">
        <v>834</v>
      </c>
      <c r="U155" s="300" t="s">
        <v>253</v>
      </c>
      <c r="V155" s="300" t="s">
        <v>834</v>
      </c>
      <c r="W155" s="258"/>
      <c r="X155" s="307" t="s">
        <v>834</v>
      </c>
      <c r="Y155" s="274"/>
      <c r="Z155" s="426"/>
      <c r="AA155" s="320">
        <f t="shared" si="182"/>
        <v>0</v>
      </c>
      <c r="AB155" s="320">
        <f t="shared" si="183"/>
        <v>0</v>
      </c>
      <c r="AC155" s="320">
        <f t="shared" si="184"/>
        <v>0</v>
      </c>
      <c r="AD155" s="320">
        <f t="shared" si="185"/>
        <v>0</v>
      </c>
      <c r="AE155" s="320">
        <f t="shared" si="186"/>
        <v>0</v>
      </c>
      <c r="AF155" s="320">
        <f t="shared" si="187"/>
        <v>0</v>
      </c>
      <c r="AG155" s="320">
        <f t="shared" si="188"/>
        <v>0</v>
      </c>
      <c r="AH155" s="427"/>
      <c r="AI155" s="320">
        <f t="shared" si="189"/>
        <v>0</v>
      </c>
      <c r="AJ155" s="320">
        <f t="shared" si="190"/>
        <v>0</v>
      </c>
      <c r="AK155" s="320">
        <f t="shared" si="191"/>
        <v>0</v>
      </c>
      <c r="AL155" s="320">
        <f t="shared" si="192"/>
        <v>0</v>
      </c>
      <c r="AM155" s="320">
        <f t="shared" si="193"/>
        <v>0</v>
      </c>
      <c r="AN155" s="320">
        <f t="shared" si="194"/>
        <v>0</v>
      </c>
      <c r="AO155" s="427"/>
      <c r="AP155" s="320">
        <f t="shared" si="173"/>
        <v>0</v>
      </c>
      <c r="AQ155" s="320">
        <f t="shared" si="148"/>
        <v>0</v>
      </c>
      <c r="AR155" s="320">
        <f t="shared" si="149"/>
        <v>0</v>
      </c>
      <c r="AS155" s="320">
        <f t="shared" si="150"/>
        <v>0</v>
      </c>
      <c r="AT155" s="320">
        <f t="shared" si="151"/>
        <v>0</v>
      </c>
      <c r="AU155" s="320">
        <f t="shared" si="152"/>
        <v>0</v>
      </c>
      <c r="AV155" s="427"/>
      <c r="AW155" s="320">
        <f t="shared" si="153"/>
        <v>0</v>
      </c>
      <c r="AX155" s="320">
        <f t="shared" si="154"/>
        <v>0</v>
      </c>
      <c r="AY155" s="320">
        <f t="shared" si="155"/>
        <v>0</v>
      </c>
      <c r="AZ155" s="320">
        <f t="shared" si="156"/>
        <v>0</v>
      </c>
      <c r="BA155" s="17"/>
      <c r="BB155" s="17" t="s">
        <v>834</v>
      </c>
      <c r="BC155" s="17"/>
      <c r="BD155" s="17"/>
      <c r="BE155" s="17"/>
      <c r="BF155" s="17"/>
      <c r="BG155" s="428">
        <f t="shared" si="195"/>
        <v>0</v>
      </c>
      <c r="BH155" s="17"/>
      <c r="BI155" s="17" t="s">
        <v>253</v>
      </c>
      <c r="BJ155" s="17"/>
      <c r="BK155" s="17"/>
      <c r="BL155" s="17"/>
      <c r="BM155" s="17"/>
      <c r="BN155" s="320">
        <f t="shared" si="196"/>
        <v>0</v>
      </c>
      <c r="BO155" s="320">
        <f t="shared" si="197"/>
        <v>0</v>
      </c>
      <c r="BP155" s="427"/>
      <c r="BQ155" s="427"/>
      <c r="BR155" s="320">
        <f t="shared" si="199"/>
        <v>0</v>
      </c>
      <c r="BS155" s="320">
        <f t="shared" si="199"/>
        <v>0</v>
      </c>
      <c r="BT155" s="427"/>
      <c r="BU155" s="320">
        <f t="shared" si="198"/>
        <v>0</v>
      </c>
      <c r="BV155" s="320">
        <f t="shared" si="158"/>
        <v>0</v>
      </c>
      <c r="BW155" s="320">
        <f t="shared" si="175"/>
        <v>0</v>
      </c>
      <c r="BX155" s="427"/>
      <c r="BY155" s="320">
        <f t="shared" si="133"/>
        <v>0</v>
      </c>
      <c r="BZ155" s="320">
        <f t="shared" si="159"/>
        <v>0</v>
      </c>
      <c r="CA155" s="320">
        <f t="shared" si="127"/>
        <v>0</v>
      </c>
      <c r="CB155" s="320">
        <f t="shared" si="134"/>
        <v>0</v>
      </c>
      <c r="CC155" s="427"/>
      <c r="CD155" s="320">
        <f t="shared" si="160"/>
        <v>0</v>
      </c>
      <c r="CE155" s="320">
        <f t="shared" si="161"/>
        <v>0</v>
      </c>
      <c r="CF155" s="320">
        <f t="shared" si="162"/>
        <v>0</v>
      </c>
      <c r="CG155" s="320">
        <f t="shared" si="163"/>
        <v>0</v>
      </c>
      <c r="CH155" s="427"/>
      <c r="CI155" s="427"/>
      <c r="CJ155" s="427"/>
      <c r="CK155" s="427"/>
      <c r="CL155" s="320">
        <f t="shared" si="178"/>
        <v>0</v>
      </c>
      <c r="CM155" s="320">
        <f t="shared" si="164"/>
        <v>0</v>
      </c>
      <c r="CN155" s="320">
        <f t="shared" si="165"/>
        <v>0</v>
      </c>
      <c r="CO155" s="320">
        <f t="shared" si="166"/>
        <v>0</v>
      </c>
      <c r="CP155" s="427"/>
      <c r="CQ155" s="427"/>
      <c r="CR155" s="320">
        <f t="shared" si="167"/>
        <v>0</v>
      </c>
      <c r="CS155" s="320">
        <f t="shared" si="176"/>
        <v>0</v>
      </c>
      <c r="CT155" s="320">
        <f t="shared" si="120"/>
        <v>0</v>
      </c>
      <c r="CU155" s="320">
        <f t="shared" si="121"/>
        <v>0</v>
      </c>
      <c r="CV155" s="427"/>
      <c r="CW155" s="17"/>
      <c r="CX155" s="320">
        <f t="shared" si="122"/>
        <v>0</v>
      </c>
      <c r="CY155" s="320">
        <f t="shared" si="168"/>
        <v>0</v>
      </c>
      <c r="CZ155" s="320">
        <f t="shared" si="169"/>
        <v>0</v>
      </c>
      <c r="DA155" s="17"/>
      <c r="DB155" s="17"/>
      <c r="DC155" s="17"/>
      <c r="DD155" s="31"/>
      <c r="DE155" s="323"/>
      <c r="DF155" s="323"/>
      <c r="DG155" s="323"/>
      <c r="DH155" s="323"/>
      <c r="DI155" s="323"/>
      <c r="DJ155" s="323"/>
      <c r="DK155" s="323"/>
      <c r="DL155" s="323"/>
      <c r="DM155" s="323"/>
      <c r="DN155" s="323"/>
      <c r="DO155" s="323"/>
      <c r="DP155" s="324"/>
      <c r="DQ155" s="288"/>
      <c r="DR155" s="242"/>
      <c r="DS155" s="429">
        <f t="shared" si="170"/>
        <v>0</v>
      </c>
      <c r="DT155" s="429">
        <f>SUM(BA155:BF155)/5</f>
        <v>0</v>
      </c>
      <c r="DU155" s="429"/>
      <c r="DV155" s="429"/>
      <c r="DW155" s="429"/>
      <c r="DX155" s="429"/>
      <c r="DY155" s="429"/>
      <c r="DZ155" s="134"/>
      <c r="EA155" s="134"/>
      <c r="EB155" s="134"/>
      <c r="EC155" s="134"/>
      <c r="ED155" s="123"/>
      <c r="EH155" s="44"/>
      <c r="EI155" s="45"/>
      <c r="EJ155" s="33" t="b">
        <f t="shared" si="171"/>
        <v>0</v>
      </c>
      <c r="EK155" s="42"/>
      <c r="EL155" s="42"/>
      <c r="EM155" s="42"/>
      <c r="EN155" s="439"/>
      <c r="EO155" s="439"/>
      <c r="EP155" s="439"/>
      <c r="EQ155" s="38"/>
      <c r="ER155" s="440"/>
      <c r="ES155" s="431"/>
      <c r="ET155" s="431"/>
      <c r="EU155" s="431"/>
      <c r="EV155" s="447"/>
      <c r="EZ155" s="393" t="s">
        <v>174</v>
      </c>
      <c r="FA155" s="393" t="s">
        <v>174</v>
      </c>
      <c r="FB155" s="389">
        <v>21.8</v>
      </c>
      <c r="FC155" s="389">
        <v>21.2</v>
      </c>
      <c r="FD155" s="389">
        <v>20.9</v>
      </c>
      <c r="FE155" s="389">
        <v>20.6</v>
      </c>
      <c r="FF155" s="389">
        <v>20.3</v>
      </c>
      <c r="FG155" s="390">
        <v>-2.8301886792452898E-3</v>
      </c>
      <c r="FH155" s="390">
        <v>-2.8708133971291597E-3</v>
      </c>
      <c r="FI155" s="390">
        <v>-2.9126213592233076E-3</v>
      </c>
      <c r="FJ155" s="391">
        <v>1.4563106796128315E-2</v>
      </c>
      <c r="FK155" s="391" t="s">
        <v>1386</v>
      </c>
      <c r="FL155" s="31" t="s">
        <v>1379</v>
      </c>
      <c r="FN155" s="128" t="s">
        <v>1682</v>
      </c>
      <c r="FO155" s="128" t="s">
        <v>1683</v>
      </c>
      <c r="FP155" s="128"/>
    </row>
    <row r="156" spans="1:177" ht="22" hidden="1" customHeight="1" x14ac:dyDescent="0.2">
      <c r="A156" s="13" t="s">
        <v>16</v>
      </c>
      <c r="B156" s="19" t="s">
        <v>17</v>
      </c>
      <c r="C156" s="19"/>
      <c r="D156" s="19"/>
      <c r="E156" s="128" t="s">
        <v>175</v>
      </c>
      <c r="F156" s="15"/>
      <c r="G156" s="15" t="s">
        <v>634</v>
      </c>
      <c r="H156" s="91">
        <f t="shared" si="181"/>
        <v>1</v>
      </c>
      <c r="I156" s="95">
        <f t="shared" si="123"/>
        <v>0</v>
      </c>
      <c r="J156" s="91"/>
      <c r="K156" s="256">
        <f t="shared" si="137"/>
        <v>1</v>
      </c>
      <c r="L156" s="101">
        <v>0</v>
      </c>
      <c r="M156" s="99"/>
      <c r="N156" s="89"/>
      <c r="O156" s="98" t="str">
        <f t="shared" si="136"/>
        <v>_x000D__x000D_</v>
      </c>
      <c r="P156" s="98"/>
      <c r="Q156" s="55"/>
      <c r="R156" s="64" t="s">
        <v>918</v>
      </c>
      <c r="S156" s="425"/>
      <c r="T156" s="300" t="s">
        <v>834</v>
      </c>
      <c r="U156" s="300" t="s">
        <v>834</v>
      </c>
      <c r="V156" s="300" t="s">
        <v>834</v>
      </c>
      <c r="W156" s="258"/>
      <c r="X156" s="307" t="s">
        <v>834</v>
      </c>
      <c r="Y156" s="274"/>
      <c r="Z156" s="426"/>
      <c r="AA156" s="320">
        <f t="shared" si="182"/>
        <v>0</v>
      </c>
      <c r="AB156" s="320">
        <f t="shared" si="183"/>
        <v>0</v>
      </c>
      <c r="AC156" s="320">
        <f t="shared" si="184"/>
        <v>0</v>
      </c>
      <c r="AD156" s="320">
        <f t="shared" si="185"/>
        <v>0</v>
      </c>
      <c r="AE156" s="320">
        <f t="shared" si="186"/>
        <v>0</v>
      </c>
      <c r="AF156" s="320">
        <f t="shared" si="187"/>
        <v>0</v>
      </c>
      <c r="AG156" s="320">
        <f t="shared" si="188"/>
        <v>0</v>
      </c>
      <c r="AH156" s="427"/>
      <c r="AI156" s="320">
        <f t="shared" si="189"/>
        <v>0</v>
      </c>
      <c r="AJ156" s="320">
        <f t="shared" si="190"/>
        <v>0</v>
      </c>
      <c r="AK156" s="320">
        <f t="shared" si="191"/>
        <v>0</v>
      </c>
      <c r="AL156" s="320">
        <f t="shared" si="192"/>
        <v>0</v>
      </c>
      <c r="AM156" s="320">
        <f t="shared" si="193"/>
        <v>0</v>
      </c>
      <c r="AN156" s="320">
        <f t="shared" si="194"/>
        <v>0</v>
      </c>
      <c r="AO156" s="427"/>
      <c r="AP156" s="320">
        <f t="shared" si="173"/>
        <v>0</v>
      </c>
      <c r="AQ156" s="320">
        <f t="shared" si="148"/>
        <v>0</v>
      </c>
      <c r="AR156" s="320">
        <f t="shared" si="149"/>
        <v>0</v>
      </c>
      <c r="AS156" s="320">
        <f t="shared" si="150"/>
        <v>0</v>
      </c>
      <c r="AT156" s="320">
        <f t="shared" si="151"/>
        <v>0</v>
      </c>
      <c r="AU156" s="320">
        <f t="shared" si="152"/>
        <v>0</v>
      </c>
      <c r="AV156" s="427"/>
      <c r="AW156" s="320">
        <f t="shared" si="153"/>
        <v>0</v>
      </c>
      <c r="AX156" s="320">
        <f t="shared" si="154"/>
        <v>0</v>
      </c>
      <c r="AY156" s="320">
        <f t="shared" si="155"/>
        <v>0</v>
      </c>
      <c r="AZ156" s="320">
        <f t="shared" si="156"/>
        <v>0</v>
      </c>
      <c r="BA156" s="17"/>
      <c r="BB156" s="17" t="s">
        <v>834</v>
      </c>
      <c r="BC156" s="17"/>
      <c r="BD156" s="17"/>
      <c r="BE156" s="17"/>
      <c r="BF156" s="17"/>
      <c r="BG156" s="428">
        <f t="shared" si="195"/>
        <v>0</v>
      </c>
      <c r="BH156" s="17"/>
      <c r="BI156" s="17"/>
      <c r="BJ156" s="17"/>
      <c r="BK156" s="17"/>
      <c r="BL156" s="17"/>
      <c r="BM156" s="17"/>
      <c r="BN156" s="320">
        <f t="shared" si="196"/>
        <v>0</v>
      </c>
      <c r="BO156" s="320">
        <f t="shared" si="197"/>
        <v>0</v>
      </c>
      <c r="BP156" s="427"/>
      <c r="BQ156" s="427"/>
      <c r="BR156" s="320">
        <f t="shared" si="199"/>
        <v>0</v>
      </c>
      <c r="BS156" s="320">
        <f t="shared" si="199"/>
        <v>0</v>
      </c>
      <c r="BT156" s="427"/>
      <c r="BU156" s="320">
        <f t="shared" si="198"/>
        <v>0</v>
      </c>
      <c r="BV156" s="320">
        <f t="shared" si="158"/>
        <v>0</v>
      </c>
      <c r="BW156" s="320">
        <f t="shared" si="175"/>
        <v>0</v>
      </c>
      <c r="BX156" s="427"/>
      <c r="BY156" s="320">
        <f t="shared" si="133"/>
        <v>0</v>
      </c>
      <c r="BZ156" s="320">
        <f t="shared" si="159"/>
        <v>0</v>
      </c>
      <c r="CA156" s="320">
        <f t="shared" si="127"/>
        <v>0</v>
      </c>
      <c r="CB156" s="320">
        <f t="shared" si="134"/>
        <v>0</v>
      </c>
      <c r="CC156" s="427"/>
      <c r="CD156" s="320">
        <f t="shared" si="160"/>
        <v>0</v>
      </c>
      <c r="CE156" s="320">
        <f t="shared" si="161"/>
        <v>0</v>
      </c>
      <c r="CF156" s="320">
        <f t="shared" si="162"/>
        <v>0</v>
      </c>
      <c r="CG156" s="320">
        <f t="shared" si="163"/>
        <v>0</v>
      </c>
      <c r="CH156" s="427"/>
      <c r="CI156" s="427"/>
      <c r="CJ156" s="427"/>
      <c r="CK156" s="427"/>
      <c r="CL156" s="320">
        <f t="shared" si="178"/>
        <v>0</v>
      </c>
      <c r="CM156" s="320">
        <f t="shared" si="164"/>
        <v>0</v>
      </c>
      <c r="CN156" s="320">
        <f t="shared" si="165"/>
        <v>0</v>
      </c>
      <c r="CO156" s="320">
        <f t="shared" si="166"/>
        <v>0</v>
      </c>
      <c r="CP156" s="427"/>
      <c r="CQ156" s="427"/>
      <c r="CR156" s="320">
        <f t="shared" si="167"/>
        <v>0</v>
      </c>
      <c r="CS156" s="320">
        <f t="shared" si="176"/>
        <v>0</v>
      </c>
      <c r="CT156" s="320">
        <f t="shared" si="120"/>
        <v>0</v>
      </c>
      <c r="CU156" s="320">
        <f t="shared" si="121"/>
        <v>0</v>
      </c>
      <c r="CV156" s="427"/>
      <c r="CW156" s="17"/>
      <c r="CX156" s="320">
        <f t="shared" si="122"/>
        <v>0</v>
      </c>
      <c r="CY156" s="320">
        <f t="shared" si="168"/>
        <v>0</v>
      </c>
      <c r="CZ156" s="320">
        <f t="shared" si="169"/>
        <v>0</v>
      </c>
      <c r="DA156" s="17"/>
      <c r="DB156" s="17"/>
      <c r="DC156" s="17"/>
      <c r="DD156" s="31"/>
      <c r="DE156" s="321"/>
      <c r="DF156" s="321"/>
      <c r="DG156" s="321"/>
      <c r="DH156" s="321"/>
      <c r="DI156" s="321"/>
      <c r="DJ156" s="321"/>
      <c r="DK156" s="321"/>
      <c r="DL156" s="321"/>
      <c r="DM156" s="321"/>
      <c r="DN156" s="321"/>
      <c r="DO156" s="321"/>
      <c r="DP156" s="322"/>
      <c r="DQ156" s="288"/>
      <c r="DR156" s="241"/>
      <c r="DS156" s="429">
        <f t="shared" si="170"/>
        <v>0</v>
      </c>
      <c r="DT156" s="429">
        <f>SUM(BA156:BF156)/5</f>
        <v>0</v>
      </c>
      <c r="DU156" s="429"/>
      <c r="DV156" s="429"/>
      <c r="DW156" s="429"/>
      <c r="DX156" s="429"/>
      <c r="DY156" s="429"/>
      <c r="DZ156" s="134"/>
      <c r="EA156" s="134"/>
      <c r="EB156" s="134"/>
      <c r="EC156" s="134"/>
      <c r="ED156" s="123"/>
      <c r="EH156" s="46">
        <v>1</v>
      </c>
      <c r="EI156" s="45"/>
      <c r="EJ156" s="33" t="b">
        <f t="shared" si="171"/>
        <v>0</v>
      </c>
      <c r="EK156" s="42"/>
      <c r="EL156" s="42"/>
      <c r="EM156" s="42"/>
      <c r="EN156" s="439"/>
      <c r="EO156" s="439"/>
      <c r="EP156" s="439"/>
      <c r="EQ156" s="47"/>
      <c r="ER156" s="440"/>
      <c r="ES156" s="431"/>
      <c r="ET156" s="431"/>
      <c r="EU156" s="431"/>
      <c r="EV156" s="447"/>
      <c r="EZ156" s="393" t="s">
        <v>175</v>
      </c>
      <c r="FA156" s="393" t="s">
        <v>175</v>
      </c>
      <c r="FB156" s="389">
        <v>25</v>
      </c>
      <c r="FC156" s="389">
        <v>26</v>
      </c>
      <c r="FD156" s="389">
        <v>26</v>
      </c>
      <c r="FE156" s="389">
        <v>27</v>
      </c>
      <c r="FF156" s="389">
        <v>27</v>
      </c>
      <c r="FG156" s="390">
        <v>0</v>
      </c>
      <c r="FH156" s="390">
        <v>7.6923076923076927E-3</v>
      </c>
      <c r="FI156" s="390">
        <v>0</v>
      </c>
      <c r="FJ156" s="391" t="s">
        <v>1389</v>
      </c>
      <c r="FK156" s="391">
        <v>-1</v>
      </c>
      <c r="FL156" s="31" t="s">
        <v>1394</v>
      </c>
      <c r="FN156" s="128" t="s">
        <v>1684</v>
      </c>
      <c r="FO156" s="128" t="s">
        <v>1685</v>
      </c>
      <c r="FP156" s="128"/>
    </row>
    <row r="157" spans="1:177" ht="22" hidden="1" customHeight="1" x14ac:dyDescent="0.2">
      <c r="A157" s="13" t="s">
        <v>24</v>
      </c>
      <c r="B157" s="14" t="s">
        <v>67</v>
      </c>
      <c r="C157" s="14"/>
      <c r="D157" s="14"/>
      <c r="E157" s="128" t="s">
        <v>176</v>
      </c>
      <c r="F157" s="15"/>
      <c r="G157" s="15" t="s">
        <v>634</v>
      </c>
      <c r="H157" s="91">
        <f t="shared" si="181"/>
        <v>1</v>
      </c>
      <c r="I157" s="95">
        <f t="shared" si="123"/>
        <v>0</v>
      </c>
      <c r="J157" s="92"/>
      <c r="K157" s="256">
        <f t="shared" si="137"/>
        <v>1</v>
      </c>
      <c r="L157" s="286">
        <v>0</v>
      </c>
      <c r="M157" s="100"/>
      <c r="N157" s="89"/>
      <c r="O157" s="98" t="str">
        <f t="shared" si="136"/>
        <v>_x000D__x000D_</v>
      </c>
      <c r="P157" s="98"/>
      <c r="Q157" s="55"/>
      <c r="R157" s="64" t="s">
        <v>918</v>
      </c>
      <c r="S157" s="425"/>
      <c r="T157" s="300" t="s">
        <v>834</v>
      </c>
      <c r="U157" s="300" t="s">
        <v>834</v>
      </c>
      <c r="V157" s="300" t="s">
        <v>834</v>
      </c>
      <c r="W157" s="258"/>
      <c r="X157" s="307" t="s">
        <v>834</v>
      </c>
      <c r="Y157" s="274"/>
      <c r="Z157" s="426"/>
      <c r="AA157" s="320">
        <f t="shared" si="182"/>
        <v>0</v>
      </c>
      <c r="AB157" s="320">
        <f t="shared" si="183"/>
        <v>0</v>
      </c>
      <c r="AC157" s="320">
        <f t="shared" si="184"/>
        <v>0</v>
      </c>
      <c r="AD157" s="320">
        <f t="shared" si="185"/>
        <v>0</v>
      </c>
      <c r="AE157" s="320">
        <f t="shared" si="186"/>
        <v>0</v>
      </c>
      <c r="AF157" s="320">
        <f t="shared" si="187"/>
        <v>0</v>
      </c>
      <c r="AG157" s="320">
        <f t="shared" si="188"/>
        <v>0</v>
      </c>
      <c r="AH157" s="427"/>
      <c r="AI157" s="320">
        <f t="shared" si="189"/>
        <v>0</v>
      </c>
      <c r="AJ157" s="320">
        <f t="shared" si="190"/>
        <v>0</v>
      </c>
      <c r="AK157" s="320">
        <f t="shared" si="191"/>
        <v>0</v>
      </c>
      <c r="AL157" s="320">
        <f t="shared" si="192"/>
        <v>0</v>
      </c>
      <c r="AM157" s="320">
        <f t="shared" si="193"/>
        <v>0</v>
      </c>
      <c r="AN157" s="320">
        <f t="shared" si="194"/>
        <v>0</v>
      </c>
      <c r="AO157" s="427"/>
      <c r="AP157" s="320">
        <f t="shared" si="173"/>
        <v>0</v>
      </c>
      <c r="AQ157" s="320">
        <f t="shared" si="148"/>
        <v>0</v>
      </c>
      <c r="AR157" s="320">
        <f t="shared" si="149"/>
        <v>0</v>
      </c>
      <c r="AS157" s="320">
        <f t="shared" si="150"/>
        <v>0</v>
      </c>
      <c r="AT157" s="320">
        <f t="shared" si="151"/>
        <v>0</v>
      </c>
      <c r="AU157" s="320">
        <f t="shared" si="152"/>
        <v>0</v>
      </c>
      <c r="AV157" s="427"/>
      <c r="AW157" s="320">
        <f t="shared" si="153"/>
        <v>0</v>
      </c>
      <c r="AX157" s="320">
        <f t="shared" si="154"/>
        <v>0</v>
      </c>
      <c r="AY157" s="320">
        <f t="shared" si="155"/>
        <v>0</v>
      </c>
      <c r="AZ157" s="320">
        <f t="shared" si="156"/>
        <v>0</v>
      </c>
      <c r="BA157" s="17"/>
      <c r="BB157" s="17" t="s">
        <v>834</v>
      </c>
      <c r="BC157" s="17"/>
      <c r="BD157" s="17"/>
      <c r="BE157" s="17"/>
      <c r="BF157" s="17"/>
      <c r="BG157" s="428">
        <f t="shared" si="195"/>
        <v>0</v>
      </c>
      <c r="BH157" s="17"/>
      <c r="BI157" s="17"/>
      <c r="BJ157" s="17"/>
      <c r="BK157" s="17"/>
      <c r="BL157" s="17"/>
      <c r="BM157" s="17"/>
      <c r="BN157" s="320">
        <f t="shared" si="196"/>
        <v>0</v>
      </c>
      <c r="BO157" s="320">
        <f t="shared" si="197"/>
        <v>0</v>
      </c>
      <c r="BP157" s="427"/>
      <c r="BQ157" s="427"/>
      <c r="BR157" s="320">
        <f t="shared" si="199"/>
        <v>0</v>
      </c>
      <c r="BS157" s="320">
        <f t="shared" si="199"/>
        <v>0</v>
      </c>
      <c r="BT157" s="427"/>
      <c r="BU157" s="320">
        <f t="shared" si="198"/>
        <v>0</v>
      </c>
      <c r="BV157" s="320">
        <f t="shared" si="158"/>
        <v>0</v>
      </c>
      <c r="BW157" s="320">
        <f t="shared" si="175"/>
        <v>0</v>
      </c>
      <c r="BX157" s="427"/>
      <c r="BY157" s="320">
        <f t="shared" si="133"/>
        <v>0</v>
      </c>
      <c r="BZ157" s="320">
        <f t="shared" si="159"/>
        <v>0</v>
      </c>
      <c r="CA157" s="320">
        <f t="shared" si="127"/>
        <v>0</v>
      </c>
      <c r="CB157" s="320">
        <f t="shared" si="134"/>
        <v>0</v>
      </c>
      <c r="CC157" s="427"/>
      <c r="CD157" s="320">
        <f t="shared" si="160"/>
        <v>0</v>
      </c>
      <c r="CE157" s="320">
        <f t="shared" si="161"/>
        <v>0</v>
      </c>
      <c r="CF157" s="320">
        <f t="shared" si="162"/>
        <v>0</v>
      </c>
      <c r="CG157" s="320">
        <f t="shared" si="163"/>
        <v>0</v>
      </c>
      <c r="CH157" s="427"/>
      <c r="CI157" s="427"/>
      <c r="CJ157" s="427"/>
      <c r="CK157" s="427"/>
      <c r="CL157" s="320">
        <f t="shared" si="178"/>
        <v>0</v>
      </c>
      <c r="CM157" s="320">
        <f t="shared" si="164"/>
        <v>0</v>
      </c>
      <c r="CN157" s="320">
        <f t="shared" si="165"/>
        <v>0</v>
      </c>
      <c r="CO157" s="320">
        <f t="shared" si="166"/>
        <v>0</v>
      </c>
      <c r="CP157" s="427"/>
      <c r="CQ157" s="427"/>
      <c r="CR157" s="320">
        <f t="shared" si="167"/>
        <v>0</v>
      </c>
      <c r="CS157" s="320">
        <f t="shared" si="176"/>
        <v>0</v>
      </c>
      <c r="CT157" s="320">
        <f t="shared" ref="CT157:CT203" si="200">IF(ISNUMBER(SEARCH("2",$CQ157)),1,0)</f>
        <v>0</v>
      </c>
      <c r="CU157" s="320">
        <f t="shared" ref="CU157:CU203" si="201">IF(ISNUMBER(SEARCH("3",$CQ157)),1,0)</f>
        <v>0</v>
      </c>
      <c r="CV157" s="427"/>
      <c r="CW157" s="17"/>
      <c r="CX157" s="320">
        <f t="shared" ref="CX157:CX203" si="202">IF(ISNUMBER(SEARCH("1",$CW157)),1,0)</f>
        <v>0</v>
      </c>
      <c r="CY157" s="320">
        <f t="shared" si="168"/>
        <v>0</v>
      </c>
      <c r="CZ157" s="320">
        <f t="shared" si="169"/>
        <v>0</v>
      </c>
      <c r="DA157" s="17"/>
      <c r="DB157" s="17"/>
      <c r="DC157" s="17"/>
      <c r="DD157" s="31"/>
      <c r="DE157" s="323"/>
      <c r="DF157" s="323"/>
      <c r="DG157" s="323"/>
      <c r="DH157" s="323"/>
      <c r="DI157" s="323"/>
      <c r="DJ157" s="323"/>
      <c r="DK157" s="323"/>
      <c r="DL157" s="323"/>
      <c r="DM157" s="323"/>
      <c r="DN157" s="323"/>
      <c r="DO157" s="323"/>
      <c r="DP157" s="324"/>
      <c r="DQ157" s="290"/>
      <c r="DR157" s="245"/>
      <c r="DS157" s="429">
        <f t="shared" si="170"/>
        <v>0</v>
      </c>
      <c r="DT157" s="429">
        <f>SUM(BA157:BF157)/5</f>
        <v>0</v>
      </c>
      <c r="DU157" s="429"/>
      <c r="DV157" s="429"/>
      <c r="DW157" s="429"/>
      <c r="DX157" s="429"/>
      <c r="DY157" s="429"/>
      <c r="DZ157" s="134"/>
      <c r="EA157" s="134"/>
      <c r="EB157" s="134"/>
      <c r="EC157" s="134"/>
      <c r="ED157" s="123"/>
      <c r="EH157" s="44"/>
      <c r="EI157" s="45"/>
      <c r="EJ157" s="33" t="b">
        <f t="shared" si="171"/>
        <v>0</v>
      </c>
      <c r="EK157" s="42"/>
      <c r="EL157" s="42"/>
      <c r="EM157" s="42"/>
      <c r="EN157" s="439"/>
      <c r="EO157" s="439"/>
      <c r="EP157" s="439"/>
      <c r="EQ157" s="38"/>
      <c r="ER157" s="440"/>
      <c r="ES157" s="431"/>
      <c r="ET157" s="431"/>
      <c r="EU157" s="431"/>
      <c r="EV157" s="447"/>
      <c r="EZ157" s="393" t="s">
        <v>176</v>
      </c>
      <c r="FA157" s="393" t="s">
        <v>176</v>
      </c>
      <c r="FB157" s="389">
        <v>130</v>
      </c>
      <c r="FC157" s="389">
        <v>171</v>
      </c>
      <c r="FD157" s="389">
        <v>171</v>
      </c>
      <c r="FE157" s="389">
        <v>171</v>
      </c>
      <c r="FF157" s="389">
        <v>171</v>
      </c>
      <c r="FG157" s="390">
        <v>0</v>
      </c>
      <c r="FH157" s="390">
        <v>0</v>
      </c>
      <c r="FI157" s="390">
        <v>0</v>
      </c>
      <c r="FJ157" s="391">
        <v>0</v>
      </c>
      <c r="FK157" s="391" t="s">
        <v>1386</v>
      </c>
      <c r="FL157" s="31" t="s">
        <v>1387</v>
      </c>
      <c r="FN157" s="128" t="s">
        <v>1686</v>
      </c>
      <c r="FO157" s="128" t="s">
        <v>1687</v>
      </c>
      <c r="FP157" s="128"/>
    </row>
    <row r="158" spans="1:177" ht="22" hidden="1" customHeight="1" x14ac:dyDescent="0.2">
      <c r="A158" s="13" t="s">
        <v>7</v>
      </c>
      <c r="B158" s="14" t="s">
        <v>8</v>
      </c>
      <c r="C158" s="14"/>
      <c r="D158" s="14"/>
      <c r="E158" s="128" t="s">
        <v>177</v>
      </c>
      <c r="F158" s="15"/>
      <c r="G158" s="15" t="s">
        <v>634</v>
      </c>
      <c r="H158" s="91">
        <f t="shared" si="181"/>
        <v>1</v>
      </c>
      <c r="I158" s="95">
        <f t="shared" ref="I158:I203" si="203">IF(L158=0,0,2)</f>
        <v>0</v>
      </c>
      <c r="J158" s="91"/>
      <c r="K158" s="256">
        <f t="shared" si="137"/>
        <v>1</v>
      </c>
      <c r="L158" s="101">
        <v>0</v>
      </c>
      <c r="M158" s="99"/>
      <c r="N158" s="89"/>
      <c r="O158" s="98" t="str">
        <f t="shared" si="136"/>
        <v>_x000D__x000D_</v>
      </c>
      <c r="P158" s="98"/>
      <c r="Q158" s="55"/>
      <c r="R158" s="64" t="s">
        <v>918</v>
      </c>
      <c r="S158" s="425"/>
      <c r="T158" s="300" t="s">
        <v>834</v>
      </c>
      <c r="U158" s="300" t="s">
        <v>834</v>
      </c>
      <c r="V158" s="300" t="s">
        <v>834</v>
      </c>
      <c r="W158" s="258"/>
      <c r="X158" s="307" t="s">
        <v>834</v>
      </c>
      <c r="Y158" s="274"/>
      <c r="Z158" s="426"/>
      <c r="AA158" s="320">
        <f t="shared" si="182"/>
        <v>0</v>
      </c>
      <c r="AB158" s="320">
        <f t="shared" si="183"/>
        <v>0</v>
      </c>
      <c r="AC158" s="320">
        <f t="shared" si="184"/>
        <v>0</v>
      </c>
      <c r="AD158" s="320">
        <f t="shared" si="185"/>
        <v>0</v>
      </c>
      <c r="AE158" s="320">
        <f t="shared" si="186"/>
        <v>0</v>
      </c>
      <c r="AF158" s="320">
        <f t="shared" si="187"/>
        <v>0</v>
      </c>
      <c r="AG158" s="320">
        <f t="shared" si="188"/>
        <v>0</v>
      </c>
      <c r="AH158" s="427"/>
      <c r="AI158" s="320">
        <f t="shared" si="189"/>
        <v>0</v>
      </c>
      <c r="AJ158" s="320">
        <f t="shared" si="190"/>
        <v>0</v>
      </c>
      <c r="AK158" s="320">
        <f t="shared" si="191"/>
        <v>0</v>
      </c>
      <c r="AL158" s="320">
        <f t="shared" si="192"/>
        <v>0</v>
      </c>
      <c r="AM158" s="320">
        <f t="shared" si="193"/>
        <v>0</v>
      </c>
      <c r="AN158" s="320">
        <f t="shared" si="194"/>
        <v>0</v>
      </c>
      <c r="AO158" s="427"/>
      <c r="AP158" s="320">
        <f t="shared" si="173"/>
        <v>0</v>
      </c>
      <c r="AQ158" s="320">
        <f t="shared" si="148"/>
        <v>0</v>
      </c>
      <c r="AR158" s="320">
        <f t="shared" si="149"/>
        <v>0</v>
      </c>
      <c r="AS158" s="320">
        <f t="shared" si="150"/>
        <v>0</v>
      </c>
      <c r="AT158" s="320">
        <f t="shared" si="151"/>
        <v>0</v>
      </c>
      <c r="AU158" s="320">
        <f t="shared" si="152"/>
        <v>0</v>
      </c>
      <c r="AV158" s="427"/>
      <c r="AW158" s="320">
        <f t="shared" si="153"/>
        <v>0</v>
      </c>
      <c r="AX158" s="320">
        <f t="shared" si="154"/>
        <v>0</v>
      </c>
      <c r="AY158" s="320">
        <f t="shared" si="155"/>
        <v>0</v>
      </c>
      <c r="AZ158" s="320">
        <f t="shared" si="156"/>
        <v>0</v>
      </c>
      <c r="BA158" s="17"/>
      <c r="BB158" s="17" t="s">
        <v>834</v>
      </c>
      <c r="BC158" s="17"/>
      <c r="BD158" s="17"/>
      <c r="BE158" s="17"/>
      <c r="BF158" s="17"/>
      <c r="BG158" s="428">
        <f t="shared" si="195"/>
        <v>0</v>
      </c>
      <c r="BH158" s="17"/>
      <c r="BI158" s="17"/>
      <c r="BJ158" s="17"/>
      <c r="BK158" s="17"/>
      <c r="BL158" s="17"/>
      <c r="BM158" s="17"/>
      <c r="BN158" s="320">
        <f t="shared" si="196"/>
        <v>0</v>
      </c>
      <c r="BO158" s="320">
        <f t="shared" si="197"/>
        <v>0</v>
      </c>
      <c r="BP158" s="427"/>
      <c r="BQ158" s="427"/>
      <c r="BR158" s="320">
        <f t="shared" si="199"/>
        <v>0</v>
      </c>
      <c r="BS158" s="320">
        <f t="shared" si="199"/>
        <v>0</v>
      </c>
      <c r="BT158" s="427"/>
      <c r="BU158" s="320">
        <f t="shared" si="198"/>
        <v>0</v>
      </c>
      <c r="BV158" s="320">
        <f t="shared" si="158"/>
        <v>0</v>
      </c>
      <c r="BW158" s="320">
        <f t="shared" si="175"/>
        <v>0</v>
      </c>
      <c r="BX158" s="427"/>
      <c r="BY158" s="320">
        <f t="shared" si="133"/>
        <v>0</v>
      </c>
      <c r="BZ158" s="320">
        <f t="shared" si="159"/>
        <v>0</v>
      </c>
      <c r="CA158" s="320">
        <f t="shared" si="127"/>
        <v>0</v>
      </c>
      <c r="CB158" s="320">
        <f t="shared" si="134"/>
        <v>0</v>
      </c>
      <c r="CC158" s="427"/>
      <c r="CD158" s="320">
        <f t="shared" si="160"/>
        <v>0</v>
      </c>
      <c r="CE158" s="320">
        <f t="shared" si="161"/>
        <v>0</v>
      </c>
      <c r="CF158" s="320">
        <f t="shared" si="162"/>
        <v>0</v>
      </c>
      <c r="CG158" s="320">
        <f t="shared" si="163"/>
        <v>0</v>
      </c>
      <c r="CH158" s="427"/>
      <c r="CI158" s="427"/>
      <c r="CJ158" s="427"/>
      <c r="CK158" s="427"/>
      <c r="CL158" s="320">
        <f t="shared" si="178"/>
        <v>0</v>
      </c>
      <c r="CM158" s="320">
        <f t="shared" si="164"/>
        <v>0</v>
      </c>
      <c r="CN158" s="320">
        <f t="shared" si="165"/>
        <v>0</v>
      </c>
      <c r="CO158" s="320">
        <f t="shared" si="166"/>
        <v>0</v>
      </c>
      <c r="CP158" s="427"/>
      <c r="CQ158" s="427"/>
      <c r="CR158" s="320">
        <f t="shared" si="167"/>
        <v>0</v>
      </c>
      <c r="CS158" s="320">
        <f t="shared" si="176"/>
        <v>0</v>
      </c>
      <c r="CT158" s="320">
        <f t="shared" si="200"/>
        <v>0</v>
      </c>
      <c r="CU158" s="320">
        <f t="shared" si="201"/>
        <v>0</v>
      </c>
      <c r="CV158" s="427"/>
      <c r="CW158" s="17"/>
      <c r="CX158" s="320">
        <f t="shared" si="202"/>
        <v>0</v>
      </c>
      <c r="CY158" s="320">
        <f t="shared" si="168"/>
        <v>0</v>
      </c>
      <c r="CZ158" s="320">
        <f t="shared" si="169"/>
        <v>0</v>
      </c>
      <c r="DA158" s="17"/>
      <c r="DB158" s="17"/>
      <c r="DC158" s="17"/>
      <c r="DD158" s="31"/>
      <c r="DE158" s="321"/>
      <c r="DF158" s="321"/>
      <c r="DG158" s="321"/>
      <c r="DH158" s="321"/>
      <c r="DI158" s="321"/>
      <c r="DJ158" s="321"/>
      <c r="DK158" s="321"/>
      <c r="DL158" s="321"/>
      <c r="DM158" s="321"/>
      <c r="DN158" s="321"/>
      <c r="DO158" s="321"/>
      <c r="DP158" s="322"/>
      <c r="DQ158" s="288"/>
      <c r="DR158" s="241"/>
      <c r="DS158" s="429">
        <f t="shared" si="170"/>
        <v>0</v>
      </c>
      <c r="DT158" s="429"/>
      <c r="DU158" s="429"/>
      <c r="DV158" s="429"/>
      <c r="DW158" s="429"/>
      <c r="DX158" s="429"/>
      <c r="DY158" s="429"/>
      <c r="DZ158" s="134"/>
      <c r="EA158" s="134"/>
      <c r="EB158" s="134"/>
      <c r="EC158" s="134"/>
      <c r="ED158" s="123"/>
      <c r="EH158" s="44"/>
      <c r="EI158" s="45"/>
      <c r="EJ158" s="33" t="b">
        <f t="shared" si="171"/>
        <v>0</v>
      </c>
      <c r="EK158" s="42"/>
      <c r="EL158" s="42"/>
      <c r="EM158" s="42"/>
      <c r="EN158" s="439"/>
      <c r="EO158" s="439"/>
      <c r="EP158" s="439"/>
      <c r="EQ158" s="38"/>
      <c r="ER158" s="440"/>
      <c r="ES158" s="431"/>
      <c r="ET158" s="431"/>
      <c r="EU158" s="431"/>
      <c r="EV158" s="447"/>
      <c r="EZ158" s="393" t="s">
        <v>177</v>
      </c>
      <c r="FA158" s="393" t="s">
        <v>177</v>
      </c>
      <c r="FB158" s="389">
        <v>0</v>
      </c>
      <c r="FC158" s="389">
        <v>0</v>
      </c>
      <c r="FD158" s="389">
        <v>0</v>
      </c>
      <c r="FE158" s="389">
        <v>0</v>
      </c>
      <c r="FF158" s="389">
        <v>0</v>
      </c>
      <c r="FG158" s="390" t="s">
        <v>1375</v>
      </c>
      <c r="FH158" s="390" t="s">
        <v>1375</v>
      </c>
      <c r="FI158" s="390" t="s">
        <v>1375</v>
      </c>
      <c r="FJ158" s="391" t="s">
        <v>1389</v>
      </c>
      <c r="FK158" s="391" t="e">
        <v>#VALUE!</v>
      </c>
      <c r="FL158" s="31" t="s">
        <v>1375</v>
      </c>
      <c r="FN158" s="128" t="s">
        <v>1688</v>
      </c>
      <c r="FO158" s="128" t="s">
        <v>1689</v>
      </c>
      <c r="FP158" s="128"/>
    </row>
    <row r="159" spans="1:177" ht="22" hidden="1" customHeight="1" x14ac:dyDescent="0.2">
      <c r="A159" s="13" t="s">
        <v>10</v>
      </c>
      <c r="B159" s="14" t="s">
        <v>14</v>
      </c>
      <c r="C159" s="14"/>
      <c r="D159" s="14"/>
      <c r="E159" s="128" t="s">
        <v>178</v>
      </c>
      <c r="F159" s="15"/>
      <c r="G159" s="15" t="s">
        <v>634</v>
      </c>
      <c r="H159" s="91">
        <f t="shared" si="181"/>
        <v>1</v>
      </c>
      <c r="I159" s="95">
        <f t="shared" si="203"/>
        <v>0</v>
      </c>
      <c r="J159" s="91"/>
      <c r="K159" s="256">
        <f t="shared" si="137"/>
        <v>1</v>
      </c>
      <c r="L159" s="101">
        <v>0</v>
      </c>
      <c r="M159" s="99"/>
      <c r="N159" s="89"/>
      <c r="O159" s="98" t="str">
        <f t="shared" si="136"/>
        <v>_x000D__x000D_</v>
      </c>
      <c r="P159" s="98"/>
      <c r="Q159" s="55"/>
      <c r="R159" s="64" t="s">
        <v>918</v>
      </c>
      <c r="S159" s="425"/>
      <c r="T159" s="300" t="s">
        <v>834</v>
      </c>
      <c r="U159" s="300" t="s">
        <v>834</v>
      </c>
      <c r="V159" s="300" t="s">
        <v>834</v>
      </c>
      <c r="W159" s="258"/>
      <c r="X159" s="307" t="s">
        <v>834</v>
      </c>
      <c r="Y159" s="274"/>
      <c r="Z159" s="426"/>
      <c r="AA159" s="320">
        <f t="shared" si="182"/>
        <v>0</v>
      </c>
      <c r="AB159" s="320">
        <f t="shared" si="183"/>
        <v>0</v>
      </c>
      <c r="AC159" s="320">
        <f t="shared" si="184"/>
        <v>0</v>
      </c>
      <c r="AD159" s="320">
        <f t="shared" si="185"/>
        <v>0</v>
      </c>
      <c r="AE159" s="320">
        <f t="shared" si="186"/>
        <v>0</v>
      </c>
      <c r="AF159" s="320">
        <f t="shared" si="187"/>
        <v>0</v>
      </c>
      <c r="AG159" s="320">
        <f t="shared" si="188"/>
        <v>0</v>
      </c>
      <c r="AH159" s="427"/>
      <c r="AI159" s="320">
        <f t="shared" si="189"/>
        <v>0</v>
      </c>
      <c r="AJ159" s="320">
        <f t="shared" si="190"/>
        <v>0</v>
      </c>
      <c r="AK159" s="320">
        <f t="shared" si="191"/>
        <v>0</v>
      </c>
      <c r="AL159" s="320">
        <f t="shared" si="192"/>
        <v>0</v>
      </c>
      <c r="AM159" s="320">
        <f t="shared" si="193"/>
        <v>0</v>
      </c>
      <c r="AN159" s="320">
        <f t="shared" si="194"/>
        <v>0</v>
      </c>
      <c r="AO159" s="427"/>
      <c r="AP159" s="320">
        <f t="shared" si="173"/>
        <v>0</v>
      </c>
      <c r="AQ159" s="320">
        <f t="shared" si="148"/>
        <v>0</v>
      </c>
      <c r="AR159" s="320">
        <f t="shared" si="149"/>
        <v>0</v>
      </c>
      <c r="AS159" s="320">
        <f t="shared" si="150"/>
        <v>0</v>
      </c>
      <c r="AT159" s="320">
        <f t="shared" si="151"/>
        <v>0</v>
      </c>
      <c r="AU159" s="320">
        <f t="shared" si="152"/>
        <v>0</v>
      </c>
      <c r="AV159" s="427"/>
      <c r="AW159" s="320">
        <f t="shared" si="153"/>
        <v>0</v>
      </c>
      <c r="AX159" s="320">
        <f t="shared" si="154"/>
        <v>0</v>
      </c>
      <c r="AY159" s="320">
        <f t="shared" si="155"/>
        <v>0</v>
      </c>
      <c r="AZ159" s="320">
        <f t="shared" si="156"/>
        <v>0</v>
      </c>
      <c r="BA159" s="17"/>
      <c r="BB159" s="17" t="s">
        <v>834</v>
      </c>
      <c r="BC159" s="17"/>
      <c r="BD159" s="17"/>
      <c r="BE159" s="17"/>
      <c r="BF159" s="17"/>
      <c r="BG159" s="428">
        <f t="shared" si="195"/>
        <v>0</v>
      </c>
      <c r="BH159" s="17"/>
      <c r="BI159" s="17"/>
      <c r="BJ159" s="17"/>
      <c r="BK159" s="17"/>
      <c r="BL159" s="17"/>
      <c r="BM159" s="17"/>
      <c r="BN159" s="320">
        <f t="shared" si="196"/>
        <v>0</v>
      </c>
      <c r="BO159" s="320">
        <f t="shared" si="197"/>
        <v>0</v>
      </c>
      <c r="BP159" s="427"/>
      <c r="BQ159" s="427"/>
      <c r="BR159" s="320">
        <f t="shared" si="199"/>
        <v>0</v>
      </c>
      <c r="BS159" s="320">
        <f t="shared" si="199"/>
        <v>0</v>
      </c>
      <c r="BT159" s="427"/>
      <c r="BU159" s="320">
        <f t="shared" si="198"/>
        <v>0</v>
      </c>
      <c r="BV159" s="320">
        <f t="shared" si="158"/>
        <v>0</v>
      </c>
      <c r="BW159" s="320">
        <f t="shared" si="175"/>
        <v>0</v>
      </c>
      <c r="BX159" s="427"/>
      <c r="BY159" s="320">
        <f t="shared" si="133"/>
        <v>0</v>
      </c>
      <c r="BZ159" s="320">
        <f t="shared" si="159"/>
        <v>0</v>
      </c>
      <c r="CA159" s="320">
        <f t="shared" si="127"/>
        <v>0</v>
      </c>
      <c r="CB159" s="320">
        <f t="shared" si="134"/>
        <v>0</v>
      </c>
      <c r="CC159" s="427"/>
      <c r="CD159" s="320">
        <f t="shared" si="160"/>
        <v>0</v>
      </c>
      <c r="CE159" s="320">
        <f t="shared" si="161"/>
        <v>0</v>
      </c>
      <c r="CF159" s="320">
        <f t="shared" si="162"/>
        <v>0</v>
      </c>
      <c r="CG159" s="320">
        <f t="shared" si="163"/>
        <v>0</v>
      </c>
      <c r="CH159" s="427"/>
      <c r="CI159" s="427"/>
      <c r="CJ159" s="427"/>
      <c r="CK159" s="427"/>
      <c r="CL159" s="320">
        <f t="shared" si="178"/>
        <v>0</v>
      </c>
      <c r="CM159" s="320">
        <f t="shared" si="164"/>
        <v>0</v>
      </c>
      <c r="CN159" s="320">
        <f t="shared" si="165"/>
        <v>0</v>
      </c>
      <c r="CO159" s="320">
        <f t="shared" si="166"/>
        <v>0</v>
      </c>
      <c r="CP159" s="427"/>
      <c r="CQ159" s="427"/>
      <c r="CR159" s="320">
        <f t="shared" si="167"/>
        <v>0</v>
      </c>
      <c r="CS159" s="320">
        <f t="shared" si="176"/>
        <v>0</v>
      </c>
      <c r="CT159" s="320">
        <f t="shared" si="200"/>
        <v>0</v>
      </c>
      <c r="CU159" s="320">
        <f t="shared" si="201"/>
        <v>0</v>
      </c>
      <c r="CV159" s="427"/>
      <c r="CW159" s="17"/>
      <c r="CX159" s="320">
        <f t="shared" si="202"/>
        <v>0</v>
      </c>
      <c r="CY159" s="320">
        <f t="shared" si="168"/>
        <v>0</v>
      </c>
      <c r="CZ159" s="320">
        <f t="shared" si="169"/>
        <v>0</v>
      </c>
      <c r="DA159" s="17"/>
      <c r="DB159" s="17"/>
      <c r="DC159" s="17"/>
      <c r="DD159" s="31"/>
      <c r="DE159" s="323"/>
      <c r="DF159" s="323"/>
      <c r="DG159" s="323"/>
      <c r="DH159" s="323"/>
      <c r="DI159" s="323"/>
      <c r="DJ159" s="323"/>
      <c r="DK159" s="323"/>
      <c r="DL159" s="323"/>
      <c r="DM159" s="323"/>
      <c r="DN159" s="323"/>
      <c r="DO159" s="323"/>
      <c r="DP159" s="324"/>
      <c r="DQ159" s="288"/>
      <c r="DR159" s="242"/>
      <c r="DS159" s="429">
        <f t="shared" si="170"/>
        <v>0</v>
      </c>
      <c r="DT159" s="429">
        <f>SUM(BA159:BF159)/5</f>
        <v>0</v>
      </c>
      <c r="DU159" s="429"/>
      <c r="DV159" s="429"/>
      <c r="DW159" s="429"/>
      <c r="DX159" s="429"/>
      <c r="DY159" s="429"/>
      <c r="DZ159" s="134"/>
      <c r="EA159" s="134"/>
      <c r="EB159" s="134"/>
      <c r="EC159" s="134"/>
      <c r="ED159" s="123"/>
      <c r="EH159" s="179"/>
      <c r="EI159" s="188"/>
      <c r="EJ159" s="180" t="b">
        <f t="shared" si="171"/>
        <v>0</v>
      </c>
      <c r="EK159" s="181"/>
      <c r="EL159" s="181"/>
      <c r="EM159" s="181"/>
      <c r="EN159" s="463"/>
      <c r="EO159" s="463"/>
      <c r="EP159" s="463"/>
      <c r="EQ159" s="182"/>
      <c r="ER159" s="464"/>
      <c r="ES159" s="465"/>
      <c r="ET159" s="465"/>
      <c r="EU159" s="465"/>
      <c r="EV159" s="466"/>
      <c r="EZ159" s="393" t="s">
        <v>178</v>
      </c>
      <c r="FA159" s="393" t="s">
        <v>178</v>
      </c>
      <c r="FB159" s="389">
        <v>56</v>
      </c>
      <c r="FC159" s="389">
        <v>56</v>
      </c>
      <c r="FD159" s="389">
        <v>56</v>
      </c>
      <c r="FE159" s="389">
        <v>53.6</v>
      </c>
      <c r="FF159" s="389">
        <v>53.6</v>
      </c>
      <c r="FG159" s="390">
        <v>0</v>
      </c>
      <c r="FH159" s="390">
        <v>-8.5714285714285667E-3</v>
      </c>
      <c r="FI159" s="390">
        <v>0</v>
      </c>
      <c r="FJ159" s="391">
        <v>-1</v>
      </c>
      <c r="FK159" s="391" t="s">
        <v>1386</v>
      </c>
      <c r="FL159" s="31" t="s">
        <v>1392</v>
      </c>
      <c r="FN159" s="128" t="s">
        <v>1690</v>
      </c>
      <c r="FO159" s="128" t="s">
        <v>1691</v>
      </c>
      <c r="FP159" s="128"/>
    </row>
    <row r="160" spans="1:177" ht="22" hidden="1" customHeight="1" x14ac:dyDescent="0.2">
      <c r="A160" s="13" t="s">
        <v>4</v>
      </c>
      <c r="B160" s="14" t="s">
        <v>21</v>
      </c>
      <c r="C160" s="14"/>
      <c r="D160" s="14"/>
      <c r="E160" s="128" t="s">
        <v>1319</v>
      </c>
      <c r="F160" s="15" t="s">
        <v>1356</v>
      </c>
      <c r="G160" s="15" t="s">
        <v>634</v>
      </c>
      <c r="H160" s="91">
        <f t="shared" si="181"/>
        <v>1</v>
      </c>
      <c r="I160" s="95">
        <f t="shared" si="203"/>
        <v>0</v>
      </c>
      <c r="J160" s="91"/>
      <c r="K160" s="256">
        <f t="shared" si="137"/>
        <v>1</v>
      </c>
      <c r="L160" s="101">
        <v>0</v>
      </c>
      <c r="M160" s="99"/>
      <c r="N160" s="89"/>
      <c r="O160" s="98" t="str">
        <f t="shared" si="136"/>
        <v>N/A or not found_x000D__x000D_</v>
      </c>
      <c r="P160" s="98"/>
      <c r="Q160" s="360" t="s">
        <v>925</v>
      </c>
      <c r="R160" s="64" t="s">
        <v>918</v>
      </c>
      <c r="S160" s="425"/>
      <c r="T160" s="300" t="s">
        <v>834</v>
      </c>
      <c r="U160" s="300" t="s">
        <v>834</v>
      </c>
      <c r="V160" s="309" t="s">
        <v>925</v>
      </c>
      <c r="W160" s="258"/>
      <c r="X160" s="307" t="s">
        <v>834</v>
      </c>
      <c r="Y160" s="274"/>
      <c r="Z160" s="426"/>
      <c r="AA160" s="320">
        <f t="shared" si="182"/>
        <v>0</v>
      </c>
      <c r="AB160" s="320">
        <f t="shared" si="183"/>
        <v>0</v>
      </c>
      <c r="AC160" s="320">
        <f t="shared" si="184"/>
        <v>0</v>
      </c>
      <c r="AD160" s="320">
        <f t="shared" si="185"/>
        <v>0</v>
      </c>
      <c r="AE160" s="320">
        <f t="shared" si="186"/>
        <v>0</v>
      </c>
      <c r="AF160" s="320">
        <f t="shared" si="187"/>
        <v>0</v>
      </c>
      <c r="AG160" s="320">
        <f t="shared" si="188"/>
        <v>0</v>
      </c>
      <c r="AH160" s="427"/>
      <c r="AI160" s="320">
        <f t="shared" si="189"/>
        <v>0</v>
      </c>
      <c r="AJ160" s="320">
        <f t="shared" si="190"/>
        <v>0</v>
      </c>
      <c r="AK160" s="320">
        <f t="shared" si="191"/>
        <v>0</v>
      </c>
      <c r="AL160" s="320">
        <f t="shared" si="192"/>
        <v>0</v>
      </c>
      <c r="AM160" s="320">
        <f t="shared" si="193"/>
        <v>0</v>
      </c>
      <c r="AN160" s="320">
        <f t="shared" si="194"/>
        <v>0</v>
      </c>
      <c r="AO160" s="427"/>
      <c r="AP160" s="320">
        <f t="shared" si="173"/>
        <v>0</v>
      </c>
      <c r="AQ160" s="320">
        <f t="shared" si="148"/>
        <v>0</v>
      </c>
      <c r="AR160" s="320">
        <f t="shared" si="149"/>
        <v>0</v>
      </c>
      <c r="AS160" s="320">
        <f t="shared" si="150"/>
        <v>0</v>
      </c>
      <c r="AT160" s="320">
        <f t="shared" si="151"/>
        <v>0</v>
      </c>
      <c r="AU160" s="320">
        <f t="shared" si="152"/>
        <v>0</v>
      </c>
      <c r="AV160" s="427"/>
      <c r="AW160" s="320">
        <f t="shared" si="153"/>
        <v>0</v>
      </c>
      <c r="AX160" s="320">
        <f t="shared" si="154"/>
        <v>0</v>
      </c>
      <c r="AY160" s="320">
        <f t="shared" si="155"/>
        <v>0</v>
      </c>
      <c r="AZ160" s="320">
        <f t="shared" si="156"/>
        <v>0</v>
      </c>
      <c r="BA160" s="17">
        <v>0</v>
      </c>
      <c r="BB160" s="17">
        <v>0</v>
      </c>
      <c r="BC160" s="17">
        <v>0</v>
      </c>
      <c r="BD160" s="17">
        <v>0</v>
      </c>
      <c r="BE160" s="17">
        <v>0</v>
      </c>
      <c r="BF160" s="17">
        <v>0</v>
      </c>
      <c r="BG160" s="428">
        <f t="shared" si="195"/>
        <v>0</v>
      </c>
      <c r="BH160" s="17">
        <v>0</v>
      </c>
      <c r="BI160" s="17">
        <v>0</v>
      </c>
      <c r="BJ160" s="17">
        <v>0</v>
      </c>
      <c r="BK160" s="17">
        <v>0</v>
      </c>
      <c r="BL160" s="17">
        <v>0</v>
      </c>
      <c r="BM160" s="17">
        <v>0</v>
      </c>
      <c r="BN160" s="320">
        <f t="shared" si="196"/>
        <v>0</v>
      </c>
      <c r="BO160" s="320">
        <f t="shared" si="197"/>
        <v>0</v>
      </c>
      <c r="BP160" s="427">
        <v>0</v>
      </c>
      <c r="BQ160" s="427">
        <v>0</v>
      </c>
      <c r="BR160" s="320">
        <f t="shared" si="199"/>
        <v>0</v>
      </c>
      <c r="BS160" s="320">
        <f t="shared" si="199"/>
        <v>0</v>
      </c>
      <c r="BT160" s="427">
        <v>0</v>
      </c>
      <c r="BU160" s="320">
        <f t="shared" si="198"/>
        <v>0</v>
      </c>
      <c r="BV160" s="320">
        <f t="shared" si="158"/>
        <v>0</v>
      </c>
      <c r="BW160" s="320">
        <f t="shared" si="175"/>
        <v>0</v>
      </c>
      <c r="BX160" s="427"/>
      <c r="BY160" s="320">
        <f t="shared" si="133"/>
        <v>0</v>
      </c>
      <c r="BZ160" s="320">
        <f t="shared" si="159"/>
        <v>0</v>
      </c>
      <c r="CA160" s="320">
        <f t="shared" si="127"/>
        <v>0</v>
      </c>
      <c r="CB160" s="320">
        <f t="shared" si="134"/>
        <v>0</v>
      </c>
      <c r="CC160" s="427"/>
      <c r="CD160" s="320">
        <f t="shared" si="160"/>
        <v>0</v>
      </c>
      <c r="CE160" s="320">
        <f t="shared" si="161"/>
        <v>0</v>
      </c>
      <c r="CF160" s="320">
        <f t="shared" si="162"/>
        <v>0</v>
      </c>
      <c r="CG160" s="320">
        <f t="shared" si="163"/>
        <v>0</v>
      </c>
      <c r="CH160" s="427"/>
      <c r="CI160" s="427"/>
      <c r="CJ160" s="427"/>
      <c r="CK160" s="427"/>
      <c r="CL160" s="320">
        <f t="shared" si="178"/>
        <v>0</v>
      </c>
      <c r="CM160" s="320">
        <f t="shared" si="164"/>
        <v>0</v>
      </c>
      <c r="CN160" s="320">
        <f t="shared" si="165"/>
        <v>0</v>
      </c>
      <c r="CO160" s="320">
        <f t="shared" si="166"/>
        <v>0</v>
      </c>
      <c r="CP160" s="427"/>
      <c r="CQ160" s="427"/>
      <c r="CR160" s="320">
        <f t="shared" si="167"/>
        <v>0</v>
      </c>
      <c r="CS160" s="320">
        <f t="shared" si="176"/>
        <v>0</v>
      </c>
      <c r="CT160" s="320">
        <f t="shared" si="200"/>
        <v>0</v>
      </c>
      <c r="CU160" s="320">
        <f t="shared" si="201"/>
        <v>0</v>
      </c>
      <c r="CV160" s="427"/>
      <c r="CW160" s="17"/>
      <c r="CX160" s="320">
        <f t="shared" si="202"/>
        <v>0</v>
      </c>
      <c r="CY160" s="320">
        <f t="shared" si="168"/>
        <v>0</v>
      </c>
      <c r="CZ160" s="320">
        <f t="shared" si="169"/>
        <v>0</v>
      </c>
      <c r="DA160" s="17"/>
      <c r="DB160" s="17"/>
      <c r="DC160" s="17"/>
      <c r="DD160" s="31"/>
      <c r="DE160" s="321" t="s">
        <v>388</v>
      </c>
      <c r="DF160" s="321" t="s">
        <v>388</v>
      </c>
      <c r="DG160" s="321" t="s">
        <v>388</v>
      </c>
      <c r="DH160" s="321" t="s">
        <v>387</v>
      </c>
      <c r="DI160" s="321" t="s">
        <v>388</v>
      </c>
      <c r="DJ160" s="321" t="s">
        <v>388</v>
      </c>
      <c r="DK160" s="321" t="s">
        <v>388</v>
      </c>
      <c r="DL160" s="321" t="s">
        <v>388</v>
      </c>
      <c r="DM160" s="379" t="s">
        <v>1331</v>
      </c>
      <c r="DN160" s="321" t="s">
        <v>388</v>
      </c>
      <c r="DO160" s="321" t="s">
        <v>1332</v>
      </c>
      <c r="DP160" s="322"/>
      <c r="DQ160" s="345" t="s">
        <v>387</v>
      </c>
      <c r="DR160" s="241"/>
      <c r="DS160" s="429">
        <f t="shared" si="170"/>
        <v>0</v>
      </c>
      <c r="DT160" s="429"/>
      <c r="DU160" s="429"/>
      <c r="DV160" s="429"/>
      <c r="DW160" s="429"/>
      <c r="DX160" s="429"/>
      <c r="DY160" s="429"/>
      <c r="DZ160" s="134"/>
      <c r="EA160" s="134"/>
      <c r="EB160" s="134"/>
      <c r="EC160" s="134"/>
      <c r="ED160" s="123"/>
      <c r="EH160" s="44"/>
      <c r="EI160" s="45"/>
      <c r="EJ160" s="33" t="b">
        <f t="shared" si="171"/>
        <v>0</v>
      </c>
      <c r="EK160" s="42"/>
      <c r="EL160" s="42"/>
      <c r="EM160" s="42"/>
      <c r="EN160" s="439"/>
      <c r="EO160" s="439"/>
      <c r="EP160" s="439"/>
      <c r="EQ160" s="38"/>
      <c r="ER160" s="440"/>
      <c r="ES160" s="431"/>
      <c r="ET160" s="431"/>
      <c r="EU160" s="431"/>
      <c r="EV160" s="447"/>
      <c r="EZ160" s="393" t="s">
        <v>1319</v>
      </c>
      <c r="FA160" s="393" t="s">
        <v>1319</v>
      </c>
      <c r="FB160" s="389">
        <v>977</v>
      </c>
      <c r="FC160" s="389">
        <v>977</v>
      </c>
      <c r="FD160" s="389">
        <v>977</v>
      </c>
      <c r="FE160" s="389">
        <v>977</v>
      </c>
      <c r="FF160" s="389">
        <v>977</v>
      </c>
      <c r="FG160" s="390">
        <v>0</v>
      </c>
      <c r="FH160" s="390">
        <v>0</v>
      </c>
      <c r="FI160" s="390">
        <v>0</v>
      </c>
      <c r="FJ160" s="391">
        <v>0</v>
      </c>
      <c r="FK160" s="391" t="s">
        <v>1386</v>
      </c>
      <c r="FL160" s="31" t="s">
        <v>1387</v>
      </c>
      <c r="FN160" s="128" t="s">
        <v>1692</v>
      </c>
      <c r="FO160" s="128" t="s">
        <v>1693</v>
      </c>
      <c r="FP160" s="128" t="s">
        <v>1348</v>
      </c>
    </row>
    <row r="161" spans="1:177" ht="22" hidden="1" customHeight="1" x14ac:dyDescent="0.2">
      <c r="A161" s="13" t="s">
        <v>10</v>
      </c>
      <c r="B161" s="14" t="s">
        <v>39</v>
      </c>
      <c r="C161" s="9" t="s">
        <v>1050</v>
      </c>
      <c r="D161" s="14" t="s">
        <v>1068</v>
      </c>
      <c r="E161" s="128" t="s">
        <v>179</v>
      </c>
      <c r="F161" s="15" t="s">
        <v>639</v>
      </c>
      <c r="G161" s="15" t="s">
        <v>635</v>
      </c>
      <c r="H161" s="91">
        <v>0</v>
      </c>
      <c r="I161" s="95">
        <f t="shared" si="203"/>
        <v>0</v>
      </c>
      <c r="J161" s="91"/>
      <c r="K161" s="256">
        <f t="shared" si="137"/>
        <v>0</v>
      </c>
      <c r="L161" s="101">
        <v>0</v>
      </c>
      <c r="M161" s="99"/>
      <c r="N161" s="89"/>
      <c r="O161" s="98" t="str">
        <f t="shared" si="136"/>
        <v> Réduction du taux de déforestation (qui est de - 40 000 ha) de 25% à partir de 2023_x000D_ Aménagement de 20 forêts par an pendant 5 ans dont 60% de forêts classées et 40% de forêts communales_x000D_ Mise en défens/RNA, reboisement par enrichissement des forêts_x000D_ 4000 ha/an de mangroves mis en défens et reboisés à partir de 2017_x000D_ 200 000 à 204 000 ha reboisées annuellement à partir de 2017 _x000D__x000D_</v>
      </c>
      <c r="P161" s="144" t="str">
        <f>CONCATENATE(V161,R161,X161)</f>
        <v>- Réduction des Émissions liées à la déforestation et la dégradation des forêts_x000D_- Réduction des émissions liées aux feux de brousse et de pâturages_x000D_BAU : 907.656,2 ha brûlés en moyenne de 2006 à 2010_x000D_- Séquestrations dues au reboisement des forêts classées_x000D_BAU : 22 392 ha/an de 2011 à 2035_x000D__x000D_Mise en œuvre des instruments tels que : la Stratégie et le Plan National d’Action sur la Biodiversité (SPNAB), la Politique Nationale de Gestion des Zones Humides (PNZH), le projet de loi-cadre sur la biodiversité et les aires protégées ; Renforcement de la résilience des écosystèmes;</v>
      </c>
      <c r="Q161" s="223" t="s">
        <v>921</v>
      </c>
      <c r="R161" s="64" t="s">
        <v>918</v>
      </c>
      <c r="S161" s="425"/>
      <c r="T161" s="300" t="s">
        <v>925</v>
      </c>
      <c r="U161" s="300" t="s">
        <v>841</v>
      </c>
      <c r="V161" s="371" t="s">
        <v>960</v>
      </c>
      <c r="W161" s="258">
        <v>1</v>
      </c>
      <c r="X161" s="308" t="s">
        <v>923</v>
      </c>
      <c r="Y161" s="274"/>
      <c r="Z161" s="426" t="s">
        <v>362</v>
      </c>
      <c r="AA161" s="320">
        <f t="shared" si="182"/>
        <v>1</v>
      </c>
      <c r="AB161" s="320">
        <f t="shared" si="183"/>
        <v>0</v>
      </c>
      <c r="AC161" s="320">
        <f t="shared" si="184"/>
        <v>0</v>
      </c>
      <c r="AD161" s="320">
        <f t="shared" si="185"/>
        <v>0</v>
      </c>
      <c r="AE161" s="320">
        <f t="shared" si="186"/>
        <v>1</v>
      </c>
      <c r="AF161" s="320">
        <f t="shared" si="187"/>
        <v>0</v>
      </c>
      <c r="AG161" s="320">
        <f t="shared" si="188"/>
        <v>0</v>
      </c>
      <c r="AH161" s="427">
        <v>1</v>
      </c>
      <c r="AI161" s="320">
        <f t="shared" si="189"/>
        <v>1</v>
      </c>
      <c r="AJ161" s="320">
        <f t="shared" si="190"/>
        <v>0</v>
      </c>
      <c r="AK161" s="320">
        <f t="shared" si="191"/>
        <v>0</v>
      </c>
      <c r="AL161" s="320">
        <f t="shared" si="192"/>
        <v>0</v>
      </c>
      <c r="AM161" s="320">
        <f t="shared" si="193"/>
        <v>0</v>
      </c>
      <c r="AN161" s="320">
        <f t="shared" si="194"/>
        <v>0</v>
      </c>
      <c r="AO161" s="427">
        <v>1</v>
      </c>
      <c r="AP161" s="320">
        <f t="shared" si="173"/>
        <v>1</v>
      </c>
      <c r="AQ161" s="320">
        <f t="shared" si="148"/>
        <v>0</v>
      </c>
      <c r="AR161" s="320">
        <f t="shared" si="149"/>
        <v>0</v>
      </c>
      <c r="AS161" s="320">
        <f t="shared" si="150"/>
        <v>0</v>
      </c>
      <c r="AT161" s="320">
        <f t="shared" si="151"/>
        <v>0</v>
      </c>
      <c r="AU161" s="320">
        <f t="shared" si="152"/>
        <v>0</v>
      </c>
      <c r="AV161" s="427">
        <v>1</v>
      </c>
      <c r="AW161" s="320">
        <f t="shared" si="153"/>
        <v>1</v>
      </c>
      <c r="AX161" s="320">
        <f t="shared" si="154"/>
        <v>0</v>
      </c>
      <c r="AY161" s="320">
        <f t="shared" si="155"/>
        <v>0</v>
      </c>
      <c r="AZ161" s="320">
        <f t="shared" si="156"/>
        <v>0</v>
      </c>
      <c r="BA161" s="17">
        <v>0</v>
      </c>
      <c r="BB161" s="17" t="s">
        <v>841</v>
      </c>
      <c r="BC161" s="17">
        <v>0</v>
      </c>
      <c r="BD161" s="17">
        <v>1</v>
      </c>
      <c r="BE161" s="17">
        <v>0</v>
      </c>
      <c r="BF161" s="17">
        <v>0</v>
      </c>
      <c r="BG161" s="428">
        <f t="shared" si="195"/>
        <v>0</v>
      </c>
      <c r="BH161" s="17">
        <v>1</v>
      </c>
      <c r="BI161" s="17">
        <v>0</v>
      </c>
      <c r="BJ161" s="17" t="s">
        <v>834</v>
      </c>
      <c r="BK161" s="17"/>
      <c r="BL161" s="17">
        <v>1</v>
      </c>
      <c r="BM161" s="17" t="s">
        <v>1179</v>
      </c>
      <c r="BN161" s="320">
        <f t="shared" si="196"/>
        <v>1</v>
      </c>
      <c r="BO161" s="320">
        <f t="shared" si="197"/>
        <v>0</v>
      </c>
      <c r="BP161" s="427">
        <v>1</v>
      </c>
      <c r="BQ161" s="427" t="s">
        <v>1180</v>
      </c>
      <c r="BR161" s="320">
        <f t="shared" si="199"/>
        <v>1</v>
      </c>
      <c r="BS161" s="320">
        <v>0</v>
      </c>
      <c r="BT161" s="427">
        <v>1</v>
      </c>
      <c r="BU161" s="320">
        <f t="shared" si="198"/>
        <v>1</v>
      </c>
      <c r="BV161" s="320">
        <f t="shared" si="158"/>
        <v>0</v>
      </c>
      <c r="BW161" s="320">
        <f t="shared" si="175"/>
        <v>0</v>
      </c>
      <c r="BX161" s="427">
        <v>1</v>
      </c>
      <c r="BY161" s="320">
        <f t="shared" si="133"/>
        <v>1</v>
      </c>
      <c r="BZ161" s="320">
        <f t="shared" si="159"/>
        <v>0</v>
      </c>
      <c r="CA161" s="320">
        <f t="shared" si="127"/>
        <v>0</v>
      </c>
      <c r="CB161" s="320">
        <f t="shared" si="134"/>
        <v>0</v>
      </c>
      <c r="CC161" s="427">
        <v>0</v>
      </c>
      <c r="CD161" s="320">
        <f t="shared" si="160"/>
        <v>0</v>
      </c>
      <c r="CE161" s="320">
        <f t="shared" si="161"/>
        <v>0</v>
      </c>
      <c r="CF161" s="320">
        <f t="shared" si="162"/>
        <v>0</v>
      </c>
      <c r="CG161" s="320">
        <f t="shared" si="163"/>
        <v>0</v>
      </c>
      <c r="CH161" s="427">
        <v>0</v>
      </c>
      <c r="CI161" s="427">
        <v>0</v>
      </c>
      <c r="CJ161" s="427">
        <v>0</v>
      </c>
      <c r="CK161" s="427">
        <v>0</v>
      </c>
      <c r="CL161" s="320">
        <f t="shared" si="178"/>
        <v>0</v>
      </c>
      <c r="CM161" s="320">
        <f t="shared" si="164"/>
        <v>0</v>
      </c>
      <c r="CN161" s="320">
        <f t="shared" si="165"/>
        <v>0</v>
      </c>
      <c r="CO161" s="320">
        <f t="shared" si="166"/>
        <v>0</v>
      </c>
      <c r="CP161" s="427">
        <v>1</v>
      </c>
      <c r="CQ161" s="427" t="s">
        <v>317</v>
      </c>
      <c r="CR161" s="320">
        <f t="shared" si="167"/>
        <v>1</v>
      </c>
      <c r="CS161" s="320">
        <f t="shared" si="176"/>
        <v>0</v>
      </c>
      <c r="CT161" s="320">
        <f t="shared" si="200"/>
        <v>1</v>
      </c>
      <c r="CU161" s="320">
        <f t="shared" si="201"/>
        <v>0</v>
      </c>
      <c r="CV161" s="427">
        <v>1</v>
      </c>
      <c r="CW161" s="17">
        <v>1</v>
      </c>
      <c r="CX161" s="320">
        <f t="shared" si="202"/>
        <v>1</v>
      </c>
      <c r="CY161" s="320">
        <f t="shared" si="168"/>
        <v>0</v>
      </c>
      <c r="CZ161" s="320">
        <f t="shared" si="169"/>
        <v>0</v>
      </c>
      <c r="DA161" s="17"/>
      <c r="DB161" s="17"/>
      <c r="DC161" s="17"/>
      <c r="DD161" s="31"/>
      <c r="DE161" s="323" t="s">
        <v>387</v>
      </c>
      <c r="DF161" s="323" t="s">
        <v>387</v>
      </c>
      <c r="DG161" s="323" t="s">
        <v>821</v>
      </c>
      <c r="DH161" s="323" t="s">
        <v>392</v>
      </c>
      <c r="DI161" s="323"/>
      <c r="DJ161" s="323">
        <v>1</v>
      </c>
      <c r="DK161" s="323">
        <v>1</v>
      </c>
      <c r="DL161" s="323">
        <v>1</v>
      </c>
      <c r="DM161" s="323">
        <v>1</v>
      </c>
      <c r="DN161" s="323" t="s">
        <v>821</v>
      </c>
      <c r="DO161" s="323" t="s">
        <v>821</v>
      </c>
      <c r="DP161" s="324">
        <v>1</v>
      </c>
      <c r="DQ161" s="291"/>
      <c r="DR161" s="239">
        <f>SUM(DS161:DX161)/6</f>
        <v>0.26632447665056364</v>
      </c>
      <c r="DS161" s="429">
        <f t="shared" si="170"/>
        <v>0.21739130434782608</v>
      </c>
      <c r="DT161" s="448">
        <f>SUM(BA161:BE161,BG161)/5</f>
        <v>0.2</v>
      </c>
      <c r="DU161" s="429">
        <f>SUM(BI161,BO161,BS161,BU161:BW161)/6</f>
        <v>0.16666666666666666</v>
      </c>
      <c r="DV161" s="429">
        <f>SUM(BY161-CB161,CD161-CG161)/8</f>
        <v>0.125</v>
      </c>
      <c r="DW161" s="429">
        <f>SUM(CH161:CJ161,CL161:CO161,BN161,BR161)/9</f>
        <v>0.22222222222222221</v>
      </c>
      <c r="DX161" s="429">
        <f>SUM(CP161,CR161:CV161)/6</f>
        <v>0.66666666666666663</v>
      </c>
      <c r="DY161" s="429"/>
      <c r="DZ161" s="134"/>
      <c r="EA161" s="135"/>
      <c r="EB161" s="135"/>
      <c r="EC161" s="135"/>
      <c r="ED161" s="124"/>
      <c r="EH161" s="44"/>
      <c r="EI161" s="45"/>
      <c r="EJ161" s="33" t="b">
        <f t="shared" si="171"/>
        <v>0</v>
      </c>
      <c r="EK161" s="42"/>
      <c r="EL161" s="42"/>
      <c r="EM161" s="42"/>
      <c r="EN161" s="439"/>
      <c r="EO161" s="439"/>
      <c r="EP161" s="439"/>
      <c r="EQ161" s="38"/>
      <c r="ER161" s="440">
        <v>1</v>
      </c>
      <c r="ES161" s="431"/>
      <c r="ET161" s="431"/>
      <c r="EU161" s="431"/>
      <c r="EV161" s="447"/>
      <c r="EZ161" s="393" t="s">
        <v>179</v>
      </c>
      <c r="FA161" s="393" t="s">
        <v>179</v>
      </c>
      <c r="FB161" s="389">
        <v>9348</v>
      </c>
      <c r="FC161" s="389">
        <v>8898</v>
      </c>
      <c r="FD161" s="389">
        <v>8673</v>
      </c>
      <c r="FE161" s="389">
        <v>8473</v>
      </c>
      <c r="FF161" s="389">
        <v>8273</v>
      </c>
      <c r="FG161" s="390">
        <v>-5.0573162508428856E-3</v>
      </c>
      <c r="FH161" s="390">
        <v>-4.6120142972443214E-3</v>
      </c>
      <c r="FI161" s="390">
        <v>-4.7208780833234978E-3</v>
      </c>
      <c r="FJ161" s="391">
        <v>2.3604390416617427E-2</v>
      </c>
      <c r="FK161" s="391" t="s">
        <v>1386</v>
      </c>
      <c r="FL161" s="31" t="s">
        <v>1379</v>
      </c>
      <c r="FN161" s="128" t="s">
        <v>1694</v>
      </c>
      <c r="FO161" s="128" t="s">
        <v>1695</v>
      </c>
      <c r="FP161" s="128"/>
    </row>
    <row r="162" spans="1:177" ht="22" customHeight="1" x14ac:dyDescent="0.2">
      <c r="A162" s="13" t="s">
        <v>7</v>
      </c>
      <c r="B162" s="14" t="s">
        <v>8</v>
      </c>
      <c r="C162" s="14"/>
      <c r="D162" s="14"/>
      <c r="E162" s="215" t="s">
        <v>180</v>
      </c>
      <c r="F162" s="15" t="s">
        <v>1355</v>
      </c>
      <c r="G162" s="15" t="s">
        <v>635</v>
      </c>
      <c r="H162" s="91">
        <f>IF(G162="YES",0,1)</f>
        <v>0</v>
      </c>
      <c r="I162" s="95">
        <f t="shared" si="203"/>
        <v>0</v>
      </c>
      <c r="J162" s="91"/>
      <c r="K162" s="256">
        <f t="shared" si="137"/>
        <v>0</v>
      </c>
      <c r="L162" s="257">
        <v>0</v>
      </c>
      <c r="M162" s="162"/>
      <c r="N162" s="155">
        <v>0</v>
      </c>
      <c r="O162" s="158" t="str">
        <f t="shared" si="136"/>
        <v>N/A or not found_x000D__x000D_</v>
      </c>
      <c r="P162" s="98" t="str">
        <f>CONCATENATE(V162,R162,X162)</f>
        <v>N/A or not found_x000D__x000D_</v>
      </c>
      <c r="Q162" s="360" t="s">
        <v>925</v>
      </c>
      <c r="R162" s="64" t="s">
        <v>918</v>
      </c>
      <c r="S162" s="432"/>
      <c r="T162" s="300" t="s">
        <v>1097</v>
      </c>
      <c r="U162" s="300" t="s">
        <v>1097</v>
      </c>
      <c r="V162" s="300" t="s">
        <v>925</v>
      </c>
      <c r="W162" s="258"/>
      <c r="X162" s="306" t="s">
        <v>834</v>
      </c>
      <c r="Y162" s="295"/>
      <c r="Z162" s="426" t="s">
        <v>320</v>
      </c>
      <c r="AA162" s="320">
        <f t="shared" si="182"/>
        <v>1</v>
      </c>
      <c r="AB162" s="320">
        <f t="shared" si="183"/>
        <v>0</v>
      </c>
      <c r="AC162" s="320">
        <f t="shared" si="184"/>
        <v>1</v>
      </c>
      <c r="AD162" s="320">
        <f t="shared" si="185"/>
        <v>1</v>
      </c>
      <c r="AE162" s="320">
        <f t="shared" si="186"/>
        <v>0</v>
      </c>
      <c r="AF162" s="320">
        <f t="shared" si="187"/>
        <v>0</v>
      </c>
      <c r="AG162" s="320">
        <f t="shared" si="188"/>
        <v>1</v>
      </c>
      <c r="AH162" s="427">
        <v>0</v>
      </c>
      <c r="AI162" s="320">
        <f t="shared" si="189"/>
        <v>0</v>
      </c>
      <c r="AJ162" s="320">
        <f t="shared" si="190"/>
        <v>0</v>
      </c>
      <c r="AK162" s="320">
        <f t="shared" si="191"/>
        <v>0</v>
      </c>
      <c r="AL162" s="320">
        <f t="shared" si="192"/>
        <v>0</v>
      </c>
      <c r="AM162" s="320">
        <f t="shared" si="193"/>
        <v>0</v>
      </c>
      <c r="AN162" s="320">
        <f t="shared" si="194"/>
        <v>0</v>
      </c>
      <c r="AO162" s="427">
        <v>1</v>
      </c>
      <c r="AP162" s="320">
        <f t="shared" si="173"/>
        <v>1</v>
      </c>
      <c r="AQ162" s="320">
        <f t="shared" si="148"/>
        <v>0</v>
      </c>
      <c r="AR162" s="320">
        <f t="shared" si="149"/>
        <v>0</v>
      </c>
      <c r="AS162" s="320">
        <f t="shared" si="150"/>
        <v>0</v>
      </c>
      <c r="AT162" s="320">
        <f t="shared" si="151"/>
        <v>0</v>
      </c>
      <c r="AU162" s="320">
        <f t="shared" si="152"/>
        <v>0</v>
      </c>
      <c r="AV162" s="427">
        <v>0</v>
      </c>
      <c r="AW162" s="320">
        <f t="shared" si="153"/>
        <v>0</v>
      </c>
      <c r="AX162" s="320">
        <f t="shared" si="154"/>
        <v>0</v>
      </c>
      <c r="AY162" s="320">
        <f t="shared" si="155"/>
        <v>0</v>
      </c>
      <c r="AZ162" s="320">
        <f t="shared" si="156"/>
        <v>0</v>
      </c>
      <c r="BA162" s="17">
        <v>1</v>
      </c>
      <c r="BB162" s="17" t="s">
        <v>1262</v>
      </c>
      <c r="BC162" s="17">
        <v>0</v>
      </c>
      <c r="BD162" s="17">
        <v>0</v>
      </c>
      <c r="BE162" s="17">
        <v>0</v>
      </c>
      <c r="BF162" s="17">
        <v>0</v>
      </c>
      <c r="BG162" s="428">
        <f t="shared" si="195"/>
        <v>0</v>
      </c>
      <c r="BH162" s="17">
        <v>0</v>
      </c>
      <c r="BI162" s="17">
        <v>1</v>
      </c>
      <c r="BJ162" s="17" t="s">
        <v>1097</v>
      </c>
      <c r="BK162" s="17">
        <v>0</v>
      </c>
      <c r="BL162" s="17">
        <v>0</v>
      </c>
      <c r="BM162" s="17" t="s">
        <v>1246</v>
      </c>
      <c r="BN162" s="320">
        <f t="shared" si="196"/>
        <v>0</v>
      </c>
      <c r="BO162" s="320">
        <f t="shared" si="197"/>
        <v>0</v>
      </c>
      <c r="BP162" s="427">
        <v>0</v>
      </c>
      <c r="BQ162" s="427" t="s">
        <v>1254</v>
      </c>
      <c r="BR162" s="320">
        <f t="shared" si="199"/>
        <v>0</v>
      </c>
      <c r="BS162" s="320">
        <f>IF(ISNUMBER(SEARCH("1",$BP162)),1,0)</f>
        <v>0</v>
      </c>
      <c r="BT162" s="427">
        <v>0</v>
      </c>
      <c r="BU162" s="320">
        <f t="shared" si="198"/>
        <v>0</v>
      </c>
      <c r="BV162" s="320">
        <f t="shared" si="158"/>
        <v>0</v>
      </c>
      <c r="BW162" s="320">
        <f t="shared" si="175"/>
        <v>0</v>
      </c>
      <c r="BX162" s="427">
        <v>1</v>
      </c>
      <c r="BY162" s="320">
        <f t="shared" si="133"/>
        <v>1</v>
      </c>
      <c r="BZ162" s="320">
        <f t="shared" si="159"/>
        <v>0</v>
      </c>
      <c r="CA162" s="320">
        <f t="shared" si="127"/>
        <v>0</v>
      </c>
      <c r="CB162" s="320">
        <f t="shared" si="134"/>
        <v>0</v>
      </c>
      <c r="CC162" s="427">
        <v>0</v>
      </c>
      <c r="CD162" s="320">
        <f t="shared" si="160"/>
        <v>0</v>
      </c>
      <c r="CE162" s="320">
        <f t="shared" si="161"/>
        <v>0</v>
      </c>
      <c r="CF162" s="320">
        <f t="shared" si="162"/>
        <v>0</v>
      </c>
      <c r="CG162" s="320">
        <f t="shared" si="163"/>
        <v>0</v>
      </c>
      <c r="CH162" s="427">
        <v>0</v>
      </c>
      <c r="CI162" s="427">
        <v>0</v>
      </c>
      <c r="CJ162" s="427">
        <v>0</v>
      </c>
      <c r="CK162" s="427">
        <v>1</v>
      </c>
      <c r="CL162" s="320">
        <f t="shared" si="178"/>
        <v>1</v>
      </c>
      <c r="CM162" s="320">
        <f t="shared" si="164"/>
        <v>0</v>
      </c>
      <c r="CN162" s="320">
        <f t="shared" si="165"/>
        <v>0</v>
      </c>
      <c r="CO162" s="320">
        <v>0</v>
      </c>
      <c r="CP162" s="427">
        <v>0</v>
      </c>
      <c r="CQ162" s="427">
        <v>2</v>
      </c>
      <c r="CR162" s="320">
        <f t="shared" si="167"/>
        <v>0</v>
      </c>
      <c r="CS162" s="320">
        <f t="shared" si="176"/>
        <v>0</v>
      </c>
      <c r="CT162" s="320">
        <f t="shared" si="200"/>
        <v>1</v>
      </c>
      <c r="CU162" s="320">
        <f t="shared" si="201"/>
        <v>0</v>
      </c>
      <c r="CV162" s="427">
        <v>0</v>
      </c>
      <c r="CW162" s="17">
        <v>4</v>
      </c>
      <c r="CX162" s="320">
        <f t="shared" si="202"/>
        <v>0</v>
      </c>
      <c r="CY162" s="320">
        <f t="shared" si="168"/>
        <v>0</v>
      </c>
      <c r="CZ162" s="320">
        <f t="shared" si="169"/>
        <v>0</v>
      </c>
      <c r="DA162" s="17">
        <v>1</v>
      </c>
      <c r="DB162" s="17">
        <v>1</v>
      </c>
      <c r="DC162" s="17">
        <v>0</v>
      </c>
      <c r="DD162" s="31"/>
      <c r="DE162" s="352" t="s">
        <v>388</v>
      </c>
      <c r="DF162" s="352" t="s">
        <v>388</v>
      </c>
      <c r="DG162" s="352" t="s">
        <v>388</v>
      </c>
      <c r="DH162" s="352" t="s">
        <v>388</v>
      </c>
      <c r="DI162" s="346" t="s">
        <v>388</v>
      </c>
      <c r="DJ162" s="352" t="s">
        <v>388</v>
      </c>
      <c r="DK162" s="352" t="s">
        <v>388</v>
      </c>
      <c r="DL162" s="352" t="s">
        <v>388</v>
      </c>
      <c r="DM162" s="352" t="s">
        <v>388</v>
      </c>
      <c r="DN162" s="352" t="s">
        <v>388</v>
      </c>
      <c r="DO162" s="352" t="s">
        <v>388</v>
      </c>
      <c r="DP162" s="353">
        <v>1</v>
      </c>
      <c r="DQ162" s="381"/>
      <c r="DR162" s="239">
        <f>SUM(DS162:DX162)/6</f>
        <v>0.16447262479871175</v>
      </c>
      <c r="DS162" s="429">
        <f t="shared" si="170"/>
        <v>0.21739130434782608</v>
      </c>
      <c r="DT162" s="429">
        <f>SUM(BA162:BE162,BG162)/5</f>
        <v>0.2</v>
      </c>
      <c r="DU162" s="429">
        <f>SUM(BI162,BO162,BS162,BU162:BW162)/6</f>
        <v>0.16666666666666666</v>
      </c>
      <c r="DV162" s="429">
        <f>SUM(BY162-CB162,CD162-CG162)/8</f>
        <v>0.125</v>
      </c>
      <c r="DW162" s="429">
        <f>SUM(CH162:CJ162,CL162:CO162,BN162,BR162)/9</f>
        <v>0.1111111111111111</v>
      </c>
      <c r="DX162" s="429">
        <f>SUM(CP162,CR162:CV162)/6</f>
        <v>0.16666666666666666</v>
      </c>
      <c r="DY162" s="456"/>
      <c r="DZ162" s="135"/>
      <c r="EA162" s="135"/>
      <c r="EB162" s="135"/>
      <c r="EC162" s="135"/>
      <c r="ED162" s="124"/>
      <c r="EH162" s="46"/>
      <c r="EI162" s="45"/>
      <c r="EJ162" s="33" t="b">
        <f t="shared" si="171"/>
        <v>0</v>
      </c>
      <c r="EK162" s="42"/>
      <c r="EL162" s="42"/>
      <c r="EM162" s="42"/>
      <c r="EN162" s="439"/>
      <c r="EO162" s="439"/>
      <c r="EP162" s="439"/>
      <c r="EQ162" s="47"/>
      <c r="ER162" s="440"/>
      <c r="ES162" s="431"/>
      <c r="ET162" s="431"/>
      <c r="EU162" s="431"/>
      <c r="EV162" s="447"/>
      <c r="EZ162" s="393" t="s">
        <v>180</v>
      </c>
      <c r="FA162" s="393" t="s">
        <v>180</v>
      </c>
      <c r="FB162" s="389">
        <v>2313</v>
      </c>
      <c r="FC162" s="389">
        <v>2460</v>
      </c>
      <c r="FD162" s="389">
        <v>2476</v>
      </c>
      <c r="FE162" s="389">
        <v>2713</v>
      </c>
      <c r="FF162" s="389">
        <v>2720</v>
      </c>
      <c r="FG162" s="390">
        <v>1.3008130081300813E-3</v>
      </c>
      <c r="FH162" s="390">
        <v>1.9143780290791598E-2</v>
      </c>
      <c r="FI162" s="390">
        <v>5.1603391079985258E-4</v>
      </c>
      <c r="FJ162" s="391" t="s">
        <v>1389</v>
      </c>
      <c r="FK162" s="391">
        <v>-0.97304430457509639</v>
      </c>
      <c r="FL162" s="31" t="s">
        <v>1394</v>
      </c>
      <c r="FN162" s="215" t="s">
        <v>1696</v>
      </c>
      <c r="FO162" s="215" t="s">
        <v>1697</v>
      </c>
      <c r="FP162" s="215" t="s">
        <v>1346</v>
      </c>
      <c r="FR162" s="402">
        <v>1</v>
      </c>
      <c r="FS162" s="402">
        <v>1</v>
      </c>
      <c r="FT162" s="402">
        <v>1</v>
      </c>
      <c r="FU162" s="402">
        <v>1</v>
      </c>
    </row>
    <row r="163" spans="1:177" ht="22" hidden="1" customHeight="1" x14ac:dyDescent="0.2">
      <c r="A163" s="13" t="s">
        <v>10</v>
      </c>
      <c r="B163" s="14" t="s">
        <v>51</v>
      </c>
      <c r="C163" s="14"/>
      <c r="D163" s="14"/>
      <c r="E163" s="128" t="s">
        <v>181</v>
      </c>
      <c r="F163" s="15"/>
      <c r="G163" s="15" t="s">
        <v>635</v>
      </c>
      <c r="H163" s="91">
        <f>IF(G163="YES",0,1)</f>
        <v>0</v>
      </c>
      <c r="I163" s="95">
        <f t="shared" si="203"/>
        <v>0</v>
      </c>
      <c r="J163" s="91"/>
      <c r="K163" s="256">
        <f t="shared" si="137"/>
        <v>0</v>
      </c>
      <c r="L163" s="101">
        <v>0</v>
      </c>
      <c r="M163" s="99"/>
      <c r="N163" s="89"/>
      <c r="O163" s="98" t="str">
        <f t="shared" si="136"/>
        <v>_x000D__x000D_</v>
      </c>
      <c r="P163" s="98"/>
      <c r="Q163" s="55"/>
      <c r="R163" s="64" t="s">
        <v>918</v>
      </c>
      <c r="S163" s="425"/>
      <c r="T163" s="300" t="s">
        <v>861</v>
      </c>
      <c r="U163" s="300" t="s">
        <v>834</v>
      </c>
      <c r="V163" s="300" t="s">
        <v>834</v>
      </c>
      <c r="W163" s="258"/>
      <c r="X163" s="307" t="s">
        <v>834</v>
      </c>
      <c r="Y163" s="274"/>
      <c r="Z163" s="426"/>
      <c r="AA163" s="320">
        <f t="shared" si="182"/>
        <v>0</v>
      </c>
      <c r="AB163" s="320">
        <f t="shared" si="183"/>
        <v>0</v>
      </c>
      <c r="AC163" s="320">
        <f t="shared" si="184"/>
        <v>0</v>
      </c>
      <c r="AD163" s="320">
        <f t="shared" si="185"/>
        <v>0</v>
      </c>
      <c r="AE163" s="320">
        <f t="shared" si="186"/>
        <v>0</v>
      </c>
      <c r="AF163" s="320">
        <f t="shared" si="187"/>
        <v>0</v>
      </c>
      <c r="AG163" s="320">
        <f t="shared" si="188"/>
        <v>0</v>
      </c>
      <c r="AH163" s="427"/>
      <c r="AI163" s="320">
        <f t="shared" si="189"/>
        <v>0</v>
      </c>
      <c r="AJ163" s="320">
        <f t="shared" si="190"/>
        <v>0</v>
      </c>
      <c r="AK163" s="320">
        <f t="shared" si="191"/>
        <v>0</v>
      </c>
      <c r="AL163" s="320">
        <f t="shared" si="192"/>
        <v>0</v>
      </c>
      <c r="AM163" s="320">
        <f t="shared" si="193"/>
        <v>0</v>
      </c>
      <c r="AN163" s="320">
        <f t="shared" si="194"/>
        <v>0</v>
      </c>
      <c r="AO163" s="427"/>
      <c r="AP163" s="320">
        <f t="shared" si="173"/>
        <v>0</v>
      </c>
      <c r="AQ163" s="320">
        <f t="shared" si="148"/>
        <v>0</v>
      </c>
      <c r="AR163" s="320">
        <f t="shared" si="149"/>
        <v>0</v>
      </c>
      <c r="AS163" s="320">
        <f t="shared" si="150"/>
        <v>0</v>
      </c>
      <c r="AT163" s="320">
        <f t="shared" si="151"/>
        <v>0</v>
      </c>
      <c r="AU163" s="320">
        <f t="shared" si="152"/>
        <v>0</v>
      </c>
      <c r="AV163" s="427"/>
      <c r="AW163" s="320">
        <f t="shared" si="153"/>
        <v>0</v>
      </c>
      <c r="AX163" s="320">
        <f t="shared" si="154"/>
        <v>0</v>
      </c>
      <c r="AY163" s="320">
        <f t="shared" si="155"/>
        <v>0</v>
      </c>
      <c r="AZ163" s="320">
        <f t="shared" si="156"/>
        <v>0</v>
      </c>
      <c r="BA163" s="17">
        <v>1</v>
      </c>
      <c r="BB163" s="17" t="s">
        <v>861</v>
      </c>
      <c r="BC163" s="17"/>
      <c r="BD163" s="17"/>
      <c r="BE163" s="17"/>
      <c r="BF163" s="17"/>
      <c r="BG163" s="428">
        <f t="shared" si="195"/>
        <v>0</v>
      </c>
      <c r="BH163" s="17"/>
      <c r="BI163" s="17"/>
      <c r="BJ163" s="17"/>
      <c r="BK163" s="17"/>
      <c r="BL163" s="17"/>
      <c r="BM163" s="17"/>
      <c r="BN163" s="320">
        <f t="shared" si="196"/>
        <v>0</v>
      </c>
      <c r="BO163" s="320">
        <f t="shared" si="197"/>
        <v>0</v>
      </c>
      <c r="BP163" s="427"/>
      <c r="BQ163" s="427"/>
      <c r="BR163" s="320">
        <f t="shared" si="199"/>
        <v>0</v>
      </c>
      <c r="BS163" s="320">
        <f>IF(ISNUMBER(SEARCH("1",$BP163)),1,0)</f>
        <v>0</v>
      </c>
      <c r="BT163" s="427"/>
      <c r="BU163" s="320">
        <f t="shared" si="198"/>
        <v>0</v>
      </c>
      <c r="BV163" s="320">
        <f t="shared" si="158"/>
        <v>0</v>
      </c>
      <c r="BW163" s="320">
        <f t="shared" si="175"/>
        <v>0</v>
      </c>
      <c r="BX163" s="427"/>
      <c r="BY163" s="320">
        <f t="shared" si="133"/>
        <v>0</v>
      </c>
      <c r="BZ163" s="320">
        <f t="shared" si="159"/>
        <v>0</v>
      </c>
      <c r="CA163" s="320">
        <f t="shared" si="127"/>
        <v>0</v>
      </c>
      <c r="CB163" s="320">
        <f t="shared" si="134"/>
        <v>0</v>
      </c>
      <c r="CC163" s="427"/>
      <c r="CD163" s="320">
        <f t="shared" si="160"/>
        <v>0</v>
      </c>
      <c r="CE163" s="320">
        <f t="shared" si="161"/>
        <v>0</v>
      </c>
      <c r="CF163" s="320">
        <f t="shared" si="162"/>
        <v>0</v>
      </c>
      <c r="CG163" s="320">
        <f t="shared" si="163"/>
        <v>0</v>
      </c>
      <c r="CH163" s="427"/>
      <c r="CI163" s="427"/>
      <c r="CJ163" s="427"/>
      <c r="CK163" s="427"/>
      <c r="CL163" s="320">
        <f t="shared" si="178"/>
        <v>0</v>
      </c>
      <c r="CM163" s="320">
        <f t="shared" si="164"/>
        <v>0</v>
      </c>
      <c r="CN163" s="320">
        <f t="shared" si="165"/>
        <v>0</v>
      </c>
      <c r="CO163" s="320">
        <f t="shared" ref="CO163:CO203" si="204">IF(ISNUMBER(SEARCH("s",$CK163)),1,0)</f>
        <v>0</v>
      </c>
      <c r="CP163" s="427"/>
      <c r="CQ163" s="427"/>
      <c r="CR163" s="320">
        <f t="shared" si="167"/>
        <v>0</v>
      </c>
      <c r="CS163" s="320">
        <f t="shared" si="176"/>
        <v>0</v>
      </c>
      <c r="CT163" s="320">
        <f t="shared" si="200"/>
        <v>0</v>
      </c>
      <c r="CU163" s="320">
        <f t="shared" si="201"/>
        <v>0</v>
      </c>
      <c r="CV163" s="427"/>
      <c r="CW163" s="17"/>
      <c r="CX163" s="320">
        <f t="shared" si="202"/>
        <v>0</v>
      </c>
      <c r="CY163" s="320">
        <f t="shared" si="168"/>
        <v>0</v>
      </c>
      <c r="CZ163" s="320">
        <f t="shared" si="169"/>
        <v>0</v>
      </c>
      <c r="DA163" s="17"/>
      <c r="DB163" s="17"/>
      <c r="DC163" s="17"/>
      <c r="DD163" s="31"/>
      <c r="DE163" s="323"/>
      <c r="DF163" s="323"/>
      <c r="DG163" s="323"/>
      <c r="DH163" s="323"/>
      <c r="DI163" s="323"/>
      <c r="DJ163" s="323"/>
      <c r="DK163" s="323"/>
      <c r="DL163" s="323"/>
      <c r="DM163" s="323"/>
      <c r="DN163" s="323"/>
      <c r="DO163" s="323"/>
      <c r="DP163" s="324"/>
      <c r="DQ163" s="288"/>
      <c r="DR163" s="242"/>
      <c r="DS163" s="429">
        <f t="shared" si="170"/>
        <v>0</v>
      </c>
      <c r="DT163" s="429"/>
      <c r="DU163" s="429"/>
      <c r="DV163" s="429"/>
      <c r="DW163" s="429"/>
      <c r="DX163" s="429"/>
      <c r="DY163" s="429"/>
      <c r="DZ163" s="134"/>
      <c r="EA163" s="134"/>
      <c r="EB163" s="134"/>
      <c r="EC163" s="134"/>
      <c r="ED163" s="123"/>
      <c r="EH163" s="44"/>
      <c r="EI163" s="45"/>
      <c r="EJ163" s="33" t="b">
        <f t="shared" si="171"/>
        <v>0</v>
      </c>
      <c r="EK163" s="42"/>
      <c r="EL163" s="42"/>
      <c r="EM163" s="42"/>
      <c r="EN163" s="439"/>
      <c r="EO163" s="439"/>
      <c r="EP163" s="439"/>
      <c r="EQ163" s="38"/>
      <c r="ER163" s="440"/>
      <c r="ES163" s="431"/>
      <c r="ET163" s="431"/>
      <c r="EU163" s="431"/>
      <c r="EV163" s="447"/>
      <c r="EZ163" s="393" t="s">
        <v>181</v>
      </c>
      <c r="FA163" s="393" t="s">
        <v>181</v>
      </c>
      <c r="FB163" s="389">
        <v>40.665999999999997</v>
      </c>
      <c r="FC163" s="389">
        <v>40.665999999999997</v>
      </c>
      <c r="FD163" s="389">
        <v>40.665999999999997</v>
      </c>
      <c r="FE163" s="389">
        <v>40.665999999999997</v>
      </c>
      <c r="FF163" s="389">
        <v>40.665999999999997</v>
      </c>
      <c r="FG163" s="390">
        <v>0</v>
      </c>
      <c r="FH163" s="390">
        <v>0</v>
      </c>
      <c r="FI163" s="390">
        <v>0</v>
      </c>
      <c r="FJ163" s="391">
        <v>0</v>
      </c>
      <c r="FK163" s="391" t="s">
        <v>1386</v>
      </c>
      <c r="FL163" s="31" t="s">
        <v>1387</v>
      </c>
      <c r="FN163" s="128" t="s">
        <v>1698</v>
      </c>
      <c r="FO163" s="128" t="s">
        <v>1699</v>
      </c>
      <c r="FP163" s="128"/>
    </row>
    <row r="164" spans="1:177" ht="22" hidden="1" customHeight="1" x14ac:dyDescent="0.2">
      <c r="A164" s="13" t="s">
        <v>10</v>
      </c>
      <c r="B164" s="14" t="s">
        <v>39</v>
      </c>
      <c r="C164" s="10" t="s">
        <v>1051</v>
      </c>
      <c r="D164" s="14" t="s">
        <v>1068</v>
      </c>
      <c r="E164" s="128" t="s">
        <v>182</v>
      </c>
      <c r="F164" s="15" t="s">
        <v>639</v>
      </c>
      <c r="G164" s="15" t="s">
        <v>634</v>
      </c>
      <c r="H164" s="91">
        <v>1</v>
      </c>
      <c r="I164" s="95">
        <f t="shared" si="203"/>
        <v>0</v>
      </c>
      <c r="J164" s="91"/>
      <c r="K164" s="256">
        <f t="shared" si="137"/>
        <v>1</v>
      </c>
      <c r="L164" s="101">
        <v>0</v>
      </c>
      <c r="M164" s="25"/>
      <c r="N164" s="89"/>
      <c r="O164" s="98" t="str">
        <f t="shared" si="136"/>
        <v>_x000D__x000D_</v>
      </c>
      <c r="P164" s="144" t="str">
        <f>CONCATENATE(V164,R164,X164)</f>
        <v>_x000D_Sierra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initiatives._x000D__x000D_Strategy 4: Restoration of degraded lands with high production potential_x000D_Strategy 7: Adoption and application of climate-smart and conservation agriculture through best agricultural practices that enhance soil fertility and improve crop yield_x000D__x000D_</v>
      </c>
      <c r="Q164" s="55"/>
      <c r="R164" s="64" t="s">
        <v>918</v>
      </c>
      <c r="S164" s="425"/>
      <c r="T164" s="300" t="s">
        <v>925</v>
      </c>
      <c r="U164" s="300" t="s">
        <v>925</v>
      </c>
      <c r="V164" s="300" t="s">
        <v>976</v>
      </c>
      <c r="W164" s="258">
        <v>0</v>
      </c>
      <c r="X164" s="307" t="s">
        <v>975</v>
      </c>
      <c r="Y164" s="297"/>
      <c r="Z164" s="426" t="s">
        <v>224</v>
      </c>
      <c r="AA164" s="320">
        <f t="shared" si="182"/>
        <v>1</v>
      </c>
      <c r="AB164" s="320">
        <f t="shared" si="183"/>
        <v>0</v>
      </c>
      <c r="AC164" s="320">
        <f t="shared" si="184"/>
        <v>1</v>
      </c>
      <c r="AD164" s="320">
        <f t="shared" si="185"/>
        <v>0</v>
      </c>
      <c r="AE164" s="320">
        <f t="shared" si="186"/>
        <v>1</v>
      </c>
      <c r="AF164" s="320">
        <f t="shared" si="187"/>
        <v>0</v>
      </c>
      <c r="AG164" s="320">
        <f t="shared" si="188"/>
        <v>0</v>
      </c>
      <c r="AH164" s="427">
        <v>1</v>
      </c>
      <c r="AI164" s="320">
        <f t="shared" si="189"/>
        <v>1</v>
      </c>
      <c r="AJ164" s="320">
        <f t="shared" si="190"/>
        <v>0</v>
      </c>
      <c r="AK164" s="320">
        <f t="shared" si="191"/>
        <v>0</v>
      </c>
      <c r="AL164" s="320">
        <f t="shared" si="192"/>
        <v>0</v>
      </c>
      <c r="AM164" s="320">
        <f t="shared" si="193"/>
        <v>0</v>
      </c>
      <c r="AN164" s="320">
        <f t="shared" si="194"/>
        <v>0</v>
      </c>
      <c r="AO164" s="427">
        <v>0</v>
      </c>
      <c r="AP164" s="320">
        <f t="shared" si="173"/>
        <v>0</v>
      </c>
      <c r="AQ164" s="320">
        <f t="shared" si="148"/>
        <v>0</v>
      </c>
      <c r="AR164" s="320">
        <f t="shared" si="149"/>
        <v>0</v>
      </c>
      <c r="AS164" s="320">
        <f t="shared" si="150"/>
        <v>0</v>
      </c>
      <c r="AT164" s="320">
        <f t="shared" si="151"/>
        <v>0</v>
      </c>
      <c r="AU164" s="320">
        <f t="shared" si="152"/>
        <v>0</v>
      </c>
      <c r="AV164" s="427">
        <v>0</v>
      </c>
      <c r="AW164" s="320">
        <f t="shared" si="153"/>
        <v>0</v>
      </c>
      <c r="AX164" s="320">
        <f t="shared" si="154"/>
        <v>0</v>
      </c>
      <c r="AY164" s="320">
        <f t="shared" si="155"/>
        <v>0</v>
      </c>
      <c r="AZ164" s="320">
        <f t="shared" si="156"/>
        <v>0</v>
      </c>
      <c r="BA164" s="17">
        <v>0</v>
      </c>
      <c r="BB164" s="17" t="s">
        <v>834</v>
      </c>
      <c r="BC164" s="17">
        <v>0</v>
      </c>
      <c r="BD164" s="17">
        <v>0</v>
      </c>
      <c r="BE164" s="17">
        <v>0</v>
      </c>
      <c r="BF164" s="17">
        <v>0</v>
      </c>
      <c r="BG164" s="428">
        <f t="shared" si="195"/>
        <v>0</v>
      </c>
      <c r="BH164" s="17">
        <v>1</v>
      </c>
      <c r="BI164" s="17">
        <v>0</v>
      </c>
      <c r="BJ164" s="17" t="s">
        <v>834</v>
      </c>
      <c r="BK164" s="17"/>
      <c r="BL164" s="17">
        <v>1</v>
      </c>
      <c r="BM164" s="17" t="s">
        <v>1181</v>
      </c>
      <c r="BN164" s="320">
        <f t="shared" si="196"/>
        <v>1</v>
      </c>
      <c r="BO164" s="320">
        <f t="shared" si="197"/>
        <v>0</v>
      </c>
      <c r="BP164" s="427">
        <v>1</v>
      </c>
      <c r="BQ164" s="427" t="s">
        <v>1182</v>
      </c>
      <c r="BR164" s="320">
        <f t="shared" si="199"/>
        <v>1</v>
      </c>
      <c r="BS164" s="320">
        <v>0</v>
      </c>
      <c r="BT164" s="427">
        <v>0</v>
      </c>
      <c r="BU164" s="320">
        <f t="shared" si="198"/>
        <v>0</v>
      </c>
      <c r="BV164" s="320">
        <f t="shared" si="158"/>
        <v>0</v>
      </c>
      <c r="BW164" s="320">
        <f t="shared" si="175"/>
        <v>0</v>
      </c>
      <c r="BX164" s="427">
        <v>1</v>
      </c>
      <c r="BY164" s="320">
        <f t="shared" si="133"/>
        <v>1</v>
      </c>
      <c r="BZ164" s="320">
        <f t="shared" si="159"/>
        <v>0</v>
      </c>
      <c r="CA164" s="320">
        <f t="shared" si="127"/>
        <v>0</v>
      </c>
      <c r="CB164" s="320">
        <f t="shared" si="134"/>
        <v>0</v>
      </c>
      <c r="CC164" s="427">
        <v>0</v>
      </c>
      <c r="CD164" s="320">
        <f t="shared" si="160"/>
        <v>0</v>
      </c>
      <c r="CE164" s="320">
        <f t="shared" si="161"/>
        <v>0</v>
      </c>
      <c r="CF164" s="320">
        <f t="shared" si="162"/>
        <v>0</v>
      </c>
      <c r="CG164" s="320">
        <f t="shared" si="163"/>
        <v>0</v>
      </c>
      <c r="CH164" s="427">
        <v>0</v>
      </c>
      <c r="CI164" s="427">
        <v>0</v>
      </c>
      <c r="CJ164" s="427">
        <v>0</v>
      </c>
      <c r="CK164" s="427">
        <v>0</v>
      </c>
      <c r="CL164" s="320">
        <f t="shared" si="178"/>
        <v>0</v>
      </c>
      <c r="CM164" s="320">
        <f t="shared" si="164"/>
        <v>0</v>
      </c>
      <c r="CN164" s="320">
        <f t="shared" si="165"/>
        <v>0</v>
      </c>
      <c r="CO164" s="320">
        <f t="shared" si="204"/>
        <v>0</v>
      </c>
      <c r="CP164" s="427">
        <v>1</v>
      </c>
      <c r="CQ164" s="427">
        <v>1</v>
      </c>
      <c r="CR164" s="320">
        <f t="shared" si="167"/>
        <v>1</v>
      </c>
      <c r="CS164" s="320">
        <f t="shared" si="176"/>
        <v>0</v>
      </c>
      <c r="CT164" s="320">
        <f t="shared" si="200"/>
        <v>0</v>
      </c>
      <c r="CU164" s="320">
        <f t="shared" si="201"/>
        <v>0</v>
      </c>
      <c r="CV164" s="427">
        <v>0</v>
      </c>
      <c r="CW164" s="17">
        <v>0</v>
      </c>
      <c r="CX164" s="320">
        <f t="shared" si="202"/>
        <v>0</v>
      </c>
      <c r="CY164" s="320">
        <f t="shared" si="168"/>
        <v>0</v>
      </c>
      <c r="CZ164" s="320">
        <f t="shared" si="169"/>
        <v>0</v>
      </c>
      <c r="DA164" s="17"/>
      <c r="DB164" s="17"/>
      <c r="DC164" s="17"/>
      <c r="DD164" s="31"/>
      <c r="DE164" s="321" t="s">
        <v>387</v>
      </c>
      <c r="DF164" s="321" t="s">
        <v>387</v>
      </c>
      <c r="DG164" s="321" t="s">
        <v>821</v>
      </c>
      <c r="DH164" s="321" t="s">
        <v>387</v>
      </c>
      <c r="DI164" s="321"/>
      <c r="DJ164" s="321" t="s">
        <v>387</v>
      </c>
      <c r="DK164" s="321">
        <v>1</v>
      </c>
      <c r="DL164" s="321">
        <v>1</v>
      </c>
      <c r="DM164" s="321">
        <v>1</v>
      </c>
      <c r="DN164" s="321" t="s">
        <v>821</v>
      </c>
      <c r="DO164" s="321" t="s">
        <v>821</v>
      </c>
      <c r="DP164" s="322">
        <v>0</v>
      </c>
      <c r="DQ164" s="291"/>
      <c r="DR164" s="239">
        <f>SUM(DS164:DX164)/6</f>
        <v>0.14241143317230273</v>
      </c>
      <c r="DS164" s="429">
        <f t="shared" si="170"/>
        <v>0.17391304347826086</v>
      </c>
      <c r="DT164" s="448">
        <f>SUM(BA164:BE164,BG164)/5</f>
        <v>0</v>
      </c>
      <c r="DU164" s="429">
        <f>SUM(BI164,BO164,BS164,BU164:BW164)/6</f>
        <v>0</v>
      </c>
      <c r="DV164" s="429">
        <f>SUM(BY164-CB164,CD164-CG164)/8</f>
        <v>0.125</v>
      </c>
      <c r="DW164" s="429">
        <f>SUM(CH164:CJ164,CL164:CO164,BN164,BR164)/9</f>
        <v>0.22222222222222221</v>
      </c>
      <c r="DX164" s="429">
        <f>SUM(CP164,CR164:CV164)/6</f>
        <v>0.33333333333333331</v>
      </c>
      <c r="DY164" s="429"/>
      <c r="DZ164" s="134"/>
      <c r="EA164" s="135"/>
      <c r="EB164" s="135"/>
      <c r="EC164" s="135"/>
      <c r="ED164" s="124"/>
      <c r="EH164" s="49">
        <v>1</v>
      </c>
      <c r="EI164" s="50"/>
      <c r="EJ164" s="33" t="b">
        <f t="shared" si="171"/>
        <v>0</v>
      </c>
      <c r="EK164" s="42"/>
      <c r="EL164" s="42"/>
      <c r="EM164" s="42"/>
      <c r="EN164" s="439"/>
      <c r="EO164" s="439"/>
      <c r="EP164" s="439"/>
      <c r="EQ164" s="47"/>
      <c r="ER164" s="440"/>
      <c r="ES164" s="431"/>
      <c r="ET164" s="431" t="s">
        <v>664</v>
      </c>
      <c r="EU164" s="431"/>
      <c r="EV164" s="447"/>
      <c r="EZ164" s="393" t="s">
        <v>182</v>
      </c>
      <c r="FA164" s="393" t="s">
        <v>182</v>
      </c>
      <c r="FB164" s="389">
        <v>3118</v>
      </c>
      <c r="FC164" s="389">
        <v>2922</v>
      </c>
      <c r="FD164" s="389">
        <v>2824</v>
      </c>
      <c r="FE164" s="389">
        <v>2726</v>
      </c>
      <c r="FF164" s="389">
        <v>3044</v>
      </c>
      <c r="FG164" s="390">
        <v>-6.707734428473648E-3</v>
      </c>
      <c r="FH164" s="390">
        <v>-6.9405099150141644E-3</v>
      </c>
      <c r="FI164" s="390">
        <v>2.3330887747615554E-2</v>
      </c>
      <c r="FJ164" s="391">
        <v>-4.3615523979217512</v>
      </c>
      <c r="FK164" s="391" t="s">
        <v>1386</v>
      </c>
      <c r="FL164" s="31" t="s">
        <v>1393</v>
      </c>
      <c r="FN164" s="128" t="s">
        <v>1700</v>
      </c>
      <c r="FO164" s="128" t="s">
        <v>1701</v>
      </c>
      <c r="FP164" s="128"/>
    </row>
    <row r="165" spans="1:177" ht="22" hidden="1" customHeight="1" x14ac:dyDescent="0.2">
      <c r="A165" s="13" t="s">
        <v>4</v>
      </c>
      <c r="B165" s="14" t="s">
        <v>47</v>
      </c>
      <c r="C165" s="14"/>
      <c r="D165" s="14" t="s">
        <v>1068</v>
      </c>
      <c r="E165" s="128" t="s">
        <v>183</v>
      </c>
      <c r="F165" s="15" t="s">
        <v>638</v>
      </c>
      <c r="G165" s="15" t="s">
        <v>634</v>
      </c>
      <c r="H165" s="91">
        <f t="shared" ref="H165:H183" si="205">IF(G165="YES",0,1)</f>
        <v>1</v>
      </c>
      <c r="I165" s="95">
        <f t="shared" si="203"/>
        <v>0</v>
      </c>
      <c r="J165" s="91"/>
      <c r="K165" s="256">
        <f t="shared" si="137"/>
        <v>1</v>
      </c>
      <c r="L165" s="101">
        <v>0</v>
      </c>
      <c r="M165" s="99"/>
      <c r="N165" s="89"/>
      <c r="O165" s="98" t="str">
        <f t="shared" si="136"/>
        <v>_x000D__x000D_</v>
      </c>
      <c r="P165" s="144" t="str">
        <f>CONCATENATE(V165,R165,X165)</f>
        <v xml:space="preserve">N/A or not found_x000D__x000D_  </v>
      </c>
      <c r="Q165" s="55"/>
      <c r="R165" s="64" t="s">
        <v>918</v>
      </c>
      <c r="S165" s="425"/>
      <c r="T165" s="300" t="s">
        <v>925</v>
      </c>
      <c r="U165" s="300" t="s">
        <v>925</v>
      </c>
      <c r="V165" s="300" t="s">
        <v>925</v>
      </c>
      <c r="W165" s="258"/>
      <c r="X165" s="307" t="s">
        <v>992</v>
      </c>
      <c r="Y165" s="274"/>
      <c r="Z165" s="426">
        <v>0</v>
      </c>
      <c r="AA165" s="320">
        <f t="shared" si="182"/>
        <v>0</v>
      </c>
      <c r="AB165" s="320">
        <f t="shared" si="183"/>
        <v>0</v>
      </c>
      <c r="AC165" s="320">
        <f t="shared" si="184"/>
        <v>0</v>
      </c>
      <c r="AD165" s="320">
        <f t="shared" si="185"/>
        <v>0</v>
      </c>
      <c r="AE165" s="320">
        <f t="shared" si="186"/>
        <v>0</v>
      </c>
      <c r="AF165" s="320">
        <f t="shared" si="187"/>
        <v>0</v>
      </c>
      <c r="AG165" s="320">
        <f t="shared" si="188"/>
        <v>0</v>
      </c>
      <c r="AH165" s="427">
        <v>0</v>
      </c>
      <c r="AI165" s="320">
        <f t="shared" si="189"/>
        <v>0</v>
      </c>
      <c r="AJ165" s="320">
        <f t="shared" si="190"/>
        <v>0</v>
      </c>
      <c r="AK165" s="320">
        <f t="shared" si="191"/>
        <v>0</v>
      </c>
      <c r="AL165" s="320">
        <f t="shared" si="192"/>
        <v>0</v>
      </c>
      <c r="AM165" s="320">
        <f t="shared" si="193"/>
        <v>0</v>
      </c>
      <c r="AN165" s="320">
        <f t="shared" si="194"/>
        <v>0</v>
      </c>
      <c r="AO165" s="427">
        <v>0</v>
      </c>
      <c r="AP165" s="320">
        <f t="shared" si="173"/>
        <v>0</v>
      </c>
      <c r="AQ165" s="320">
        <f t="shared" si="148"/>
        <v>0</v>
      </c>
      <c r="AR165" s="320">
        <f t="shared" si="149"/>
        <v>0</v>
      </c>
      <c r="AS165" s="320">
        <f t="shared" si="150"/>
        <v>0</v>
      </c>
      <c r="AT165" s="320">
        <f t="shared" si="151"/>
        <v>0</v>
      </c>
      <c r="AU165" s="320">
        <f t="shared" si="152"/>
        <v>0</v>
      </c>
      <c r="AV165" s="427">
        <v>0</v>
      </c>
      <c r="AW165" s="320">
        <f t="shared" si="153"/>
        <v>0</v>
      </c>
      <c r="AX165" s="320">
        <f t="shared" si="154"/>
        <v>0</v>
      </c>
      <c r="AY165" s="320">
        <f t="shared" si="155"/>
        <v>0</v>
      </c>
      <c r="AZ165" s="320">
        <f t="shared" si="156"/>
        <v>0</v>
      </c>
      <c r="BA165" s="17">
        <v>0</v>
      </c>
      <c r="BB165" s="17" t="s">
        <v>1282</v>
      </c>
      <c r="BC165" s="17">
        <v>0</v>
      </c>
      <c r="BD165" s="17">
        <v>0</v>
      </c>
      <c r="BE165" s="17">
        <v>0</v>
      </c>
      <c r="BF165" s="17">
        <v>0</v>
      </c>
      <c r="BG165" s="428">
        <f t="shared" si="195"/>
        <v>0</v>
      </c>
      <c r="BH165" s="17">
        <v>1</v>
      </c>
      <c r="BI165" s="17">
        <v>0</v>
      </c>
      <c r="BJ165" s="17" t="s">
        <v>1238</v>
      </c>
      <c r="BK165" s="17"/>
      <c r="BL165" s="17">
        <v>0</v>
      </c>
      <c r="BM165" s="17" t="s">
        <v>1239</v>
      </c>
      <c r="BN165" s="320">
        <f t="shared" si="196"/>
        <v>0</v>
      </c>
      <c r="BO165" s="320">
        <f t="shared" si="197"/>
        <v>0</v>
      </c>
      <c r="BP165" s="427">
        <v>1</v>
      </c>
      <c r="BQ165" s="427" t="s">
        <v>1240</v>
      </c>
      <c r="BR165" s="320">
        <f t="shared" si="199"/>
        <v>1</v>
      </c>
      <c r="BS165" s="320">
        <f>IF(ISNUMBER(SEARCH("t",$BP165)),1,0)</f>
        <v>0</v>
      </c>
      <c r="BT165" s="427">
        <v>0</v>
      </c>
      <c r="BU165" s="320">
        <f t="shared" si="198"/>
        <v>0</v>
      </c>
      <c r="BV165" s="320">
        <f t="shared" si="158"/>
        <v>0</v>
      </c>
      <c r="BW165" s="320">
        <f t="shared" si="175"/>
        <v>0</v>
      </c>
      <c r="BX165" s="427">
        <v>1</v>
      </c>
      <c r="BY165" s="320">
        <f t="shared" si="133"/>
        <v>1</v>
      </c>
      <c r="BZ165" s="320">
        <f t="shared" si="159"/>
        <v>0</v>
      </c>
      <c r="CA165" s="320">
        <f t="shared" si="127"/>
        <v>0</v>
      </c>
      <c r="CB165" s="320">
        <f t="shared" si="134"/>
        <v>0</v>
      </c>
      <c r="CC165" s="427">
        <v>0</v>
      </c>
      <c r="CD165" s="320">
        <f t="shared" si="160"/>
        <v>0</v>
      </c>
      <c r="CE165" s="320">
        <f t="shared" si="161"/>
        <v>0</v>
      </c>
      <c r="CF165" s="320">
        <f t="shared" si="162"/>
        <v>0</v>
      </c>
      <c r="CG165" s="320">
        <f t="shared" si="163"/>
        <v>0</v>
      </c>
      <c r="CH165" s="427">
        <v>0</v>
      </c>
      <c r="CI165" s="427">
        <v>0</v>
      </c>
      <c r="CJ165" s="427">
        <v>0</v>
      </c>
      <c r="CK165" s="427">
        <v>0</v>
      </c>
      <c r="CL165" s="320">
        <f t="shared" si="178"/>
        <v>0</v>
      </c>
      <c r="CM165" s="320">
        <f t="shared" si="164"/>
        <v>0</v>
      </c>
      <c r="CN165" s="320">
        <f t="shared" si="165"/>
        <v>0</v>
      </c>
      <c r="CO165" s="320">
        <f t="shared" si="204"/>
        <v>0</v>
      </c>
      <c r="CP165" s="427">
        <v>0</v>
      </c>
      <c r="CQ165" s="427">
        <v>0</v>
      </c>
      <c r="CR165" s="320">
        <f t="shared" si="167"/>
        <v>0</v>
      </c>
      <c r="CS165" s="320">
        <f t="shared" si="176"/>
        <v>0</v>
      </c>
      <c r="CT165" s="320">
        <f t="shared" si="200"/>
        <v>0</v>
      </c>
      <c r="CU165" s="320">
        <f t="shared" si="201"/>
        <v>0</v>
      </c>
      <c r="CV165" s="427">
        <v>0</v>
      </c>
      <c r="CW165" s="17">
        <v>0</v>
      </c>
      <c r="CX165" s="320">
        <f t="shared" si="202"/>
        <v>0</v>
      </c>
      <c r="CY165" s="320">
        <f t="shared" si="168"/>
        <v>0</v>
      </c>
      <c r="CZ165" s="320">
        <f t="shared" si="169"/>
        <v>0</v>
      </c>
      <c r="DA165" s="17">
        <v>0</v>
      </c>
      <c r="DB165" s="17">
        <v>0</v>
      </c>
      <c r="DC165" s="17">
        <v>0</v>
      </c>
      <c r="DD165" s="31"/>
      <c r="DE165" s="323" t="s">
        <v>387</v>
      </c>
      <c r="DF165" s="323"/>
      <c r="DG165" s="323"/>
      <c r="DH165" s="323" t="s">
        <v>387</v>
      </c>
      <c r="DI165" s="323"/>
      <c r="DJ165" s="323"/>
      <c r="DK165" s="323"/>
      <c r="DL165" s="323"/>
      <c r="DM165" s="323"/>
      <c r="DN165" s="323"/>
      <c r="DO165" s="323"/>
      <c r="DP165" s="324"/>
      <c r="DQ165" s="288"/>
      <c r="DR165" s="239">
        <f>SUM(DS165:DX165)/6</f>
        <v>4.1666666666666664E-2</v>
      </c>
      <c r="DS165" s="429">
        <f t="shared" si="170"/>
        <v>0</v>
      </c>
      <c r="DT165" s="429">
        <f>SUM(BA165:BE165,BG165)/5</f>
        <v>0</v>
      </c>
      <c r="DU165" s="429">
        <f>SUM(BI165,BN165,BO165,BR165,BS165,BU165:BW165)/8</f>
        <v>0.125</v>
      </c>
      <c r="DV165" s="429">
        <f>SUM(BY165-CB165,CD165-CG165)/8</f>
        <v>0.125</v>
      </c>
      <c r="DW165" s="429">
        <f>SUM(CH165:CJ165,CL165:CO165)/7</f>
        <v>0</v>
      </c>
      <c r="DX165" s="429">
        <f>SUM(CP165,CR165:CV165)/6</f>
        <v>0</v>
      </c>
      <c r="DY165" s="429"/>
      <c r="DZ165" s="137" t="s">
        <v>736</v>
      </c>
      <c r="EA165" s="135"/>
      <c r="EB165" s="137" t="s">
        <v>744</v>
      </c>
      <c r="EC165" s="137" t="s">
        <v>752</v>
      </c>
      <c r="ED165" s="124">
        <v>2</v>
      </c>
      <c r="EH165" s="44"/>
      <c r="EI165" s="45"/>
      <c r="EJ165" s="33" t="b">
        <f t="shared" si="171"/>
        <v>0</v>
      </c>
      <c r="EK165" s="42"/>
      <c r="EL165" s="42"/>
      <c r="EM165" s="42"/>
      <c r="EN165" s="439"/>
      <c r="EO165" s="439"/>
      <c r="EP165" s="439"/>
      <c r="EQ165" s="38"/>
      <c r="ER165" s="440">
        <v>1</v>
      </c>
      <c r="ES165" s="431"/>
      <c r="ET165" s="431"/>
      <c r="EU165" s="431"/>
      <c r="EV165" s="447"/>
      <c r="EZ165" s="393" t="s">
        <v>183</v>
      </c>
      <c r="FA165" s="393" t="s">
        <v>183</v>
      </c>
      <c r="FB165" s="389">
        <v>16.350000000000001</v>
      </c>
      <c r="FC165" s="389">
        <v>16.350000000000001</v>
      </c>
      <c r="FD165" s="389">
        <v>16.350000000000001</v>
      </c>
      <c r="FE165" s="389">
        <v>16.350000000000001</v>
      </c>
      <c r="FF165" s="389">
        <v>16.350000000000001</v>
      </c>
      <c r="FG165" s="390">
        <v>0</v>
      </c>
      <c r="FH165" s="390">
        <v>0</v>
      </c>
      <c r="FI165" s="390">
        <v>0</v>
      </c>
      <c r="FJ165" s="391">
        <v>0</v>
      </c>
      <c r="FK165" s="391" t="s">
        <v>1386</v>
      </c>
      <c r="FL165" s="31" t="s">
        <v>1387</v>
      </c>
      <c r="FN165" s="128" t="s">
        <v>1702</v>
      </c>
      <c r="FO165" s="128" t="s">
        <v>1703</v>
      </c>
      <c r="FP165" s="128"/>
    </row>
    <row r="166" spans="1:177" ht="22" hidden="1" customHeight="1" x14ac:dyDescent="0.2">
      <c r="A166" s="13" t="s">
        <v>7</v>
      </c>
      <c r="B166" s="14" t="s">
        <v>34</v>
      </c>
      <c r="C166" s="14"/>
      <c r="D166" s="14"/>
      <c r="E166" s="128" t="s">
        <v>184</v>
      </c>
      <c r="F166" s="15"/>
      <c r="G166" s="15" t="s">
        <v>635</v>
      </c>
      <c r="H166" s="91">
        <f t="shared" si="205"/>
        <v>0</v>
      </c>
      <c r="I166" s="95">
        <f t="shared" si="203"/>
        <v>0</v>
      </c>
      <c r="J166" s="91"/>
      <c r="K166" s="256">
        <f t="shared" si="137"/>
        <v>0</v>
      </c>
      <c r="L166" s="101">
        <v>0</v>
      </c>
      <c r="M166" s="99"/>
      <c r="N166" s="89"/>
      <c r="O166" s="98" t="str">
        <f t="shared" si="136"/>
        <v>_x000D__x000D_</v>
      </c>
      <c r="P166" s="98"/>
      <c r="Q166" s="55"/>
      <c r="R166" s="64" t="s">
        <v>918</v>
      </c>
      <c r="S166" s="425"/>
      <c r="T166" s="300" t="s">
        <v>884</v>
      </c>
      <c r="U166" s="300" t="s">
        <v>834</v>
      </c>
      <c r="V166" s="300" t="s">
        <v>834</v>
      </c>
      <c r="W166" s="258"/>
      <c r="X166" s="307" t="s">
        <v>834</v>
      </c>
      <c r="Y166" s="274"/>
      <c r="Z166" s="426"/>
      <c r="AA166" s="320">
        <f t="shared" si="182"/>
        <v>0</v>
      </c>
      <c r="AB166" s="320">
        <f t="shared" si="183"/>
        <v>0</v>
      </c>
      <c r="AC166" s="320">
        <f t="shared" si="184"/>
        <v>0</v>
      </c>
      <c r="AD166" s="320">
        <f t="shared" si="185"/>
        <v>0</v>
      </c>
      <c r="AE166" s="320">
        <f t="shared" si="186"/>
        <v>0</v>
      </c>
      <c r="AF166" s="320">
        <f t="shared" si="187"/>
        <v>0</v>
      </c>
      <c r="AG166" s="320">
        <f t="shared" si="188"/>
        <v>0</v>
      </c>
      <c r="AH166" s="427"/>
      <c r="AI166" s="320">
        <f t="shared" si="189"/>
        <v>0</v>
      </c>
      <c r="AJ166" s="320">
        <f t="shared" si="190"/>
        <v>0</v>
      </c>
      <c r="AK166" s="320">
        <f t="shared" si="191"/>
        <v>0</v>
      </c>
      <c r="AL166" s="320">
        <f t="shared" si="192"/>
        <v>0</v>
      </c>
      <c r="AM166" s="320">
        <f t="shared" si="193"/>
        <v>0</v>
      </c>
      <c r="AN166" s="320">
        <f t="shared" si="194"/>
        <v>0</v>
      </c>
      <c r="AO166" s="427"/>
      <c r="AP166" s="320">
        <f t="shared" si="173"/>
        <v>0</v>
      </c>
      <c r="AQ166" s="320">
        <f t="shared" si="148"/>
        <v>0</v>
      </c>
      <c r="AR166" s="320">
        <f t="shared" si="149"/>
        <v>0</v>
      </c>
      <c r="AS166" s="320">
        <f t="shared" si="150"/>
        <v>0</v>
      </c>
      <c r="AT166" s="320">
        <f t="shared" si="151"/>
        <v>0</v>
      </c>
      <c r="AU166" s="320">
        <f t="shared" si="152"/>
        <v>0</v>
      </c>
      <c r="AV166" s="427"/>
      <c r="AW166" s="320">
        <f t="shared" si="153"/>
        <v>0</v>
      </c>
      <c r="AX166" s="320">
        <f t="shared" si="154"/>
        <v>0</v>
      </c>
      <c r="AY166" s="320">
        <f t="shared" si="155"/>
        <v>0</v>
      </c>
      <c r="AZ166" s="320">
        <f t="shared" si="156"/>
        <v>0</v>
      </c>
      <c r="BA166" s="17">
        <v>1</v>
      </c>
      <c r="BB166" s="17" t="s">
        <v>884</v>
      </c>
      <c r="BC166" s="17"/>
      <c r="BD166" s="17"/>
      <c r="BE166" s="17"/>
      <c r="BF166" s="17"/>
      <c r="BG166" s="428">
        <f t="shared" si="195"/>
        <v>0</v>
      </c>
      <c r="BH166" s="17"/>
      <c r="BI166" s="17"/>
      <c r="BJ166" s="17"/>
      <c r="BK166" s="17"/>
      <c r="BL166" s="17"/>
      <c r="BM166" s="17"/>
      <c r="BN166" s="320">
        <f t="shared" si="196"/>
        <v>0</v>
      </c>
      <c r="BO166" s="320">
        <f t="shared" si="197"/>
        <v>0</v>
      </c>
      <c r="BP166" s="427"/>
      <c r="BQ166" s="427"/>
      <c r="BR166" s="320">
        <f t="shared" si="199"/>
        <v>0</v>
      </c>
      <c r="BS166" s="320">
        <f t="shared" si="199"/>
        <v>0</v>
      </c>
      <c r="BT166" s="427"/>
      <c r="BU166" s="320">
        <f t="shared" si="198"/>
        <v>0</v>
      </c>
      <c r="BV166" s="320">
        <f t="shared" si="158"/>
        <v>0</v>
      </c>
      <c r="BW166" s="320">
        <f t="shared" si="175"/>
        <v>0</v>
      </c>
      <c r="BX166" s="427"/>
      <c r="BY166" s="320">
        <f t="shared" si="133"/>
        <v>0</v>
      </c>
      <c r="BZ166" s="320">
        <f t="shared" si="159"/>
        <v>0</v>
      </c>
      <c r="CA166" s="320">
        <f t="shared" si="127"/>
        <v>0</v>
      </c>
      <c r="CB166" s="320">
        <f t="shared" si="134"/>
        <v>0</v>
      </c>
      <c r="CC166" s="427"/>
      <c r="CD166" s="320">
        <f t="shared" si="160"/>
        <v>0</v>
      </c>
      <c r="CE166" s="320">
        <f t="shared" si="161"/>
        <v>0</v>
      </c>
      <c r="CF166" s="320">
        <f t="shared" si="162"/>
        <v>0</v>
      </c>
      <c r="CG166" s="320">
        <f t="shared" si="163"/>
        <v>0</v>
      </c>
      <c r="CH166" s="427"/>
      <c r="CI166" s="427"/>
      <c r="CJ166" s="427"/>
      <c r="CK166" s="427"/>
      <c r="CL166" s="320">
        <f t="shared" si="178"/>
        <v>0</v>
      </c>
      <c r="CM166" s="320">
        <f t="shared" si="164"/>
        <v>0</v>
      </c>
      <c r="CN166" s="320">
        <f t="shared" si="165"/>
        <v>0</v>
      </c>
      <c r="CO166" s="320">
        <f t="shared" si="204"/>
        <v>0</v>
      </c>
      <c r="CP166" s="427"/>
      <c r="CQ166" s="427"/>
      <c r="CR166" s="320">
        <f t="shared" si="167"/>
        <v>0</v>
      </c>
      <c r="CS166" s="320">
        <f t="shared" si="176"/>
        <v>0</v>
      </c>
      <c r="CT166" s="320">
        <f t="shared" si="200"/>
        <v>0</v>
      </c>
      <c r="CU166" s="320">
        <f t="shared" si="201"/>
        <v>0</v>
      </c>
      <c r="CV166" s="427"/>
      <c r="CW166" s="17"/>
      <c r="CX166" s="320">
        <f t="shared" si="202"/>
        <v>0</v>
      </c>
      <c r="CY166" s="320">
        <f t="shared" si="168"/>
        <v>0</v>
      </c>
      <c r="CZ166" s="320">
        <f t="shared" si="169"/>
        <v>0</v>
      </c>
      <c r="DA166" s="17"/>
      <c r="DB166" s="17"/>
      <c r="DC166" s="17"/>
      <c r="DD166" s="31"/>
      <c r="DE166" s="321"/>
      <c r="DF166" s="321"/>
      <c r="DG166" s="321"/>
      <c r="DH166" s="321"/>
      <c r="DI166" s="321"/>
      <c r="DJ166" s="321"/>
      <c r="DK166" s="321"/>
      <c r="DL166" s="321"/>
      <c r="DM166" s="321"/>
      <c r="DN166" s="321"/>
      <c r="DO166" s="321"/>
      <c r="DP166" s="322"/>
      <c r="DQ166" s="288"/>
      <c r="DR166" s="241"/>
      <c r="DS166" s="429">
        <f t="shared" si="170"/>
        <v>0</v>
      </c>
      <c r="DT166" s="429"/>
      <c r="DU166" s="429"/>
      <c r="DV166" s="429"/>
      <c r="DW166" s="429"/>
      <c r="DX166" s="429"/>
      <c r="DY166" s="429"/>
      <c r="DZ166" s="134"/>
      <c r="EA166" s="134"/>
      <c r="EB166" s="134"/>
      <c r="EC166" s="134"/>
      <c r="ED166" s="123"/>
      <c r="EH166" s="46">
        <v>0</v>
      </c>
      <c r="EI166" s="45"/>
      <c r="EJ166" s="33" t="b">
        <f t="shared" si="171"/>
        <v>0</v>
      </c>
      <c r="EK166" s="42"/>
      <c r="EL166" s="42"/>
      <c r="EM166" s="42"/>
      <c r="EN166" s="439"/>
      <c r="EO166" s="439"/>
      <c r="EP166" s="439"/>
      <c r="EQ166" s="47"/>
      <c r="ER166" s="440"/>
      <c r="ES166" s="431"/>
      <c r="ET166" s="431" t="s">
        <v>253</v>
      </c>
      <c r="EU166" s="431"/>
      <c r="EV166" s="447"/>
      <c r="EZ166" s="393" t="s">
        <v>184</v>
      </c>
      <c r="FA166" s="393" t="s">
        <v>184</v>
      </c>
      <c r="FB166" s="389">
        <v>1922</v>
      </c>
      <c r="FC166" s="389">
        <v>1921</v>
      </c>
      <c r="FD166" s="389">
        <v>1932</v>
      </c>
      <c r="FE166" s="389">
        <v>1939</v>
      </c>
      <c r="FF166" s="389">
        <v>1940</v>
      </c>
      <c r="FG166" s="390">
        <v>1.1452368558042686E-3</v>
      </c>
      <c r="FH166" s="390">
        <v>7.246376811594203E-4</v>
      </c>
      <c r="FI166" s="390">
        <v>1.0314595152140278E-4</v>
      </c>
      <c r="FJ166" s="391" t="s">
        <v>1389</v>
      </c>
      <c r="FK166" s="391">
        <v>-0.85765858690046415</v>
      </c>
      <c r="FL166" s="31" t="s">
        <v>1394</v>
      </c>
      <c r="FN166" s="128" t="s">
        <v>1704</v>
      </c>
      <c r="FO166" s="128" t="s">
        <v>1705</v>
      </c>
      <c r="FP166" s="128"/>
    </row>
    <row r="167" spans="1:177" ht="22" customHeight="1" x14ac:dyDescent="0.2">
      <c r="A167" s="13" t="s">
        <v>7</v>
      </c>
      <c r="B167" s="14" t="s">
        <v>8</v>
      </c>
      <c r="C167" s="14"/>
      <c r="D167" s="14"/>
      <c r="E167" s="216" t="s">
        <v>185</v>
      </c>
      <c r="F167" s="15" t="s">
        <v>1355</v>
      </c>
      <c r="G167" s="176" t="s">
        <v>634</v>
      </c>
      <c r="H167" s="177">
        <f t="shared" si="205"/>
        <v>1</v>
      </c>
      <c r="I167" s="178">
        <f t="shared" si="203"/>
        <v>2</v>
      </c>
      <c r="J167" s="177"/>
      <c r="K167" s="275">
        <f t="shared" si="137"/>
        <v>3</v>
      </c>
      <c r="L167" s="283" t="s">
        <v>678</v>
      </c>
      <c r="M167" s="156"/>
      <c r="N167" s="157">
        <v>0</v>
      </c>
      <c r="O167" s="158" t="str">
        <f t="shared" si="136"/>
        <v>N/A or not found_x000D__x000D_</v>
      </c>
      <c r="P167" s="98" t="str">
        <f>CONCATENATE(V167,R167,X167)</f>
        <v>N/A or not found_x000D__x000D_</v>
      </c>
      <c r="Q167" s="360" t="s">
        <v>925</v>
      </c>
      <c r="R167" s="64" t="s">
        <v>918</v>
      </c>
      <c r="S167" s="460"/>
      <c r="T167" s="314" t="s">
        <v>1108</v>
      </c>
      <c r="U167" s="300" t="s">
        <v>925</v>
      </c>
      <c r="V167" s="300" t="s">
        <v>925</v>
      </c>
      <c r="W167" s="258"/>
      <c r="X167" s="306" t="s">
        <v>834</v>
      </c>
      <c r="Y167" s="295"/>
      <c r="Z167" s="426">
        <v>0</v>
      </c>
      <c r="AA167" s="320">
        <f t="shared" si="182"/>
        <v>0</v>
      </c>
      <c r="AB167" s="320">
        <f t="shared" si="183"/>
        <v>0</v>
      </c>
      <c r="AC167" s="320">
        <f t="shared" si="184"/>
        <v>0</v>
      </c>
      <c r="AD167" s="320">
        <f t="shared" si="185"/>
        <v>0</v>
      </c>
      <c r="AE167" s="320">
        <f t="shared" si="186"/>
        <v>0</v>
      </c>
      <c r="AF167" s="320">
        <f t="shared" si="187"/>
        <v>0</v>
      </c>
      <c r="AG167" s="320">
        <f t="shared" si="188"/>
        <v>0</v>
      </c>
      <c r="AH167" s="427">
        <v>0</v>
      </c>
      <c r="AI167" s="320">
        <f t="shared" si="189"/>
        <v>0</v>
      </c>
      <c r="AJ167" s="320">
        <f t="shared" si="190"/>
        <v>0</v>
      </c>
      <c r="AK167" s="320">
        <f t="shared" si="191"/>
        <v>0</v>
      </c>
      <c r="AL167" s="320">
        <f t="shared" si="192"/>
        <v>0</v>
      </c>
      <c r="AM167" s="320">
        <f t="shared" si="193"/>
        <v>0</v>
      </c>
      <c r="AN167" s="320">
        <f t="shared" si="194"/>
        <v>0</v>
      </c>
      <c r="AO167" s="427">
        <v>0</v>
      </c>
      <c r="AP167" s="320">
        <f t="shared" si="173"/>
        <v>0</v>
      </c>
      <c r="AQ167" s="320">
        <f t="shared" si="148"/>
        <v>0</v>
      </c>
      <c r="AR167" s="320">
        <f t="shared" si="149"/>
        <v>0</v>
      </c>
      <c r="AS167" s="320">
        <f t="shared" si="150"/>
        <v>0</v>
      </c>
      <c r="AT167" s="320">
        <f t="shared" si="151"/>
        <v>0</v>
      </c>
      <c r="AU167" s="320">
        <f t="shared" si="152"/>
        <v>0</v>
      </c>
      <c r="AV167" s="427">
        <v>1</v>
      </c>
      <c r="AW167" s="320">
        <f t="shared" si="153"/>
        <v>1</v>
      </c>
      <c r="AX167" s="320">
        <f t="shared" si="154"/>
        <v>0</v>
      </c>
      <c r="AY167" s="320">
        <f t="shared" si="155"/>
        <v>0</v>
      </c>
      <c r="AZ167" s="320">
        <f t="shared" si="156"/>
        <v>0</v>
      </c>
      <c r="BA167" s="17">
        <v>1</v>
      </c>
      <c r="BB167" s="17" t="s">
        <v>1309</v>
      </c>
      <c r="BC167" s="17">
        <v>0</v>
      </c>
      <c r="BD167" s="17">
        <v>1</v>
      </c>
      <c r="BE167" s="17">
        <v>0</v>
      </c>
      <c r="BF167" s="17">
        <v>0</v>
      </c>
      <c r="BG167" s="428">
        <f t="shared" si="195"/>
        <v>0</v>
      </c>
      <c r="BH167" s="17">
        <v>1</v>
      </c>
      <c r="BI167" s="17">
        <v>0</v>
      </c>
      <c r="BJ167" s="17" t="s">
        <v>834</v>
      </c>
      <c r="BK167" s="17">
        <v>0</v>
      </c>
      <c r="BL167" s="17">
        <v>1</v>
      </c>
      <c r="BM167" s="17" t="s">
        <v>1248</v>
      </c>
      <c r="BN167" s="320">
        <f t="shared" si="196"/>
        <v>1</v>
      </c>
      <c r="BO167" s="320">
        <f t="shared" si="197"/>
        <v>0</v>
      </c>
      <c r="BP167" s="427">
        <v>0</v>
      </c>
      <c r="BQ167" s="427" t="s">
        <v>1256</v>
      </c>
      <c r="BR167" s="320">
        <f t="shared" si="199"/>
        <v>0</v>
      </c>
      <c r="BS167" s="320">
        <f t="shared" si="199"/>
        <v>0</v>
      </c>
      <c r="BT167" s="427">
        <v>0</v>
      </c>
      <c r="BU167" s="320">
        <f t="shared" si="198"/>
        <v>0</v>
      </c>
      <c r="BV167" s="320">
        <f t="shared" si="158"/>
        <v>0</v>
      </c>
      <c r="BW167" s="320">
        <f t="shared" si="175"/>
        <v>0</v>
      </c>
      <c r="BX167" s="427" t="s">
        <v>317</v>
      </c>
      <c r="BY167" s="320">
        <f t="shared" si="133"/>
        <v>1</v>
      </c>
      <c r="BZ167" s="320">
        <f t="shared" si="159"/>
        <v>1</v>
      </c>
      <c r="CA167" s="320">
        <f t="shared" si="127"/>
        <v>0</v>
      </c>
      <c r="CB167" s="320">
        <f t="shared" si="134"/>
        <v>0</v>
      </c>
      <c r="CC167" s="427">
        <v>1</v>
      </c>
      <c r="CD167" s="320">
        <f t="shared" si="160"/>
        <v>1</v>
      </c>
      <c r="CE167" s="320">
        <f t="shared" si="161"/>
        <v>0</v>
      </c>
      <c r="CF167" s="320">
        <f t="shared" si="162"/>
        <v>0</v>
      </c>
      <c r="CG167" s="320">
        <f t="shared" si="163"/>
        <v>0</v>
      </c>
      <c r="CH167" s="427">
        <v>0</v>
      </c>
      <c r="CI167" s="427">
        <v>0</v>
      </c>
      <c r="CJ167" s="427">
        <v>0</v>
      </c>
      <c r="CK167" s="427">
        <v>0</v>
      </c>
      <c r="CL167" s="320">
        <f t="shared" si="178"/>
        <v>0</v>
      </c>
      <c r="CM167" s="320">
        <f t="shared" si="164"/>
        <v>0</v>
      </c>
      <c r="CN167" s="320">
        <f t="shared" si="165"/>
        <v>0</v>
      </c>
      <c r="CO167" s="320">
        <f t="shared" si="204"/>
        <v>0</v>
      </c>
      <c r="CP167" s="427">
        <v>0</v>
      </c>
      <c r="CQ167" s="427" t="s">
        <v>317</v>
      </c>
      <c r="CR167" s="320">
        <f t="shared" si="167"/>
        <v>1</v>
      </c>
      <c r="CS167" s="320">
        <f t="shared" si="176"/>
        <v>0</v>
      </c>
      <c r="CT167" s="320">
        <f t="shared" si="200"/>
        <v>1</v>
      </c>
      <c r="CU167" s="320">
        <f t="shared" si="201"/>
        <v>0</v>
      </c>
      <c r="CV167" s="427">
        <v>0</v>
      </c>
      <c r="CW167" s="17">
        <v>4</v>
      </c>
      <c r="CX167" s="320">
        <f t="shared" si="202"/>
        <v>0</v>
      </c>
      <c r="CY167" s="320">
        <f t="shared" si="168"/>
        <v>0</v>
      </c>
      <c r="CZ167" s="320">
        <f t="shared" si="169"/>
        <v>0</v>
      </c>
      <c r="DA167" s="17">
        <v>0</v>
      </c>
      <c r="DB167" s="17">
        <v>0</v>
      </c>
      <c r="DC167" s="17">
        <v>0</v>
      </c>
      <c r="DD167" s="31"/>
      <c r="DE167" s="352" t="s">
        <v>388</v>
      </c>
      <c r="DF167" s="352" t="s">
        <v>388</v>
      </c>
      <c r="DG167" s="352" t="s">
        <v>388</v>
      </c>
      <c r="DH167" s="352" t="s">
        <v>388</v>
      </c>
      <c r="DI167" s="346" t="s">
        <v>388</v>
      </c>
      <c r="DJ167" s="352" t="s">
        <v>388</v>
      </c>
      <c r="DK167" s="354" t="s">
        <v>1110</v>
      </c>
      <c r="DL167" s="352" t="s">
        <v>388</v>
      </c>
      <c r="DM167" s="352" t="s">
        <v>388</v>
      </c>
      <c r="DN167" s="352" t="s">
        <v>388</v>
      </c>
      <c r="DO167" s="352" t="s">
        <v>388</v>
      </c>
      <c r="DP167" s="353">
        <v>1</v>
      </c>
      <c r="DQ167" s="381"/>
      <c r="DR167" s="239">
        <f>SUM(DS167:DX167)/6</f>
        <v>0.18965378421900159</v>
      </c>
      <c r="DS167" s="429">
        <f t="shared" si="170"/>
        <v>4.3478260869565216E-2</v>
      </c>
      <c r="DT167" s="429">
        <f>SUM(BA167:BE167,BG167)/5</f>
        <v>0.4</v>
      </c>
      <c r="DU167" s="429">
        <f>SUM(BI167,BO167,BS167,BU167:BW167)/6</f>
        <v>0</v>
      </c>
      <c r="DV167" s="429">
        <f>SUM(BY167-CB167,CD167-CG167)/8</f>
        <v>0.25</v>
      </c>
      <c r="DW167" s="429">
        <f>SUM(CH167:CJ167,CL167:CO167,BN167,BR167)/9</f>
        <v>0.1111111111111111</v>
      </c>
      <c r="DX167" s="429">
        <f>SUM(CP167,CR167:CV167)/6</f>
        <v>0.33333333333333331</v>
      </c>
      <c r="DY167" s="461"/>
      <c r="DZ167" s="183"/>
      <c r="EA167" s="183"/>
      <c r="EB167" s="183"/>
      <c r="EC167" s="183"/>
      <c r="ED167" s="190"/>
      <c r="EH167" s="44"/>
      <c r="EI167" s="45"/>
      <c r="EJ167" s="33" t="e">
        <f t="shared" si="171"/>
        <v>#VALUE!</v>
      </c>
      <c r="EK167" s="42"/>
      <c r="EL167" s="42"/>
      <c r="EM167" s="42"/>
      <c r="EN167" s="439"/>
      <c r="EO167" s="439"/>
      <c r="EP167" s="439"/>
      <c r="EQ167" s="38"/>
      <c r="ER167" s="440"/>
      <c r="ES167" s="431"/>
      <c r="ET167" s="431"/>
      <c r="EU167" s="431"/>
      <c r="EV167" s="447"/>
      <c r="EZ167" s="393" t="s">
        <v>185</v>
      </c>
      <c r="FA167" s="393" t="s">
        <v>185</v>
      </c>
      <c r="FB167" s="389">
        <v>1188</v>
      </c>
      <c r="FC167" s="389">
        <v>1233</v>
      </c>
      <c r="FD167" s="389">
        <v>1243</v>
      </c>
      <c r="FE167" s="389">
        <v>1247</v>
      </c>
      <c r="FF167" s="389">
        <v>1248</v>
      </c>
      <c r="FG167" s="390">
        <v>1.6220600162206E-3</v>
      </c>
      <c r="FH167" s="390">
        <v>6.4360418342719226E-4</v>
      </c>
      <c r="FI167" s="390">
        <v>1.6038492381716118E-4</v>
      </c>
      <c r="FJ167" s="391" t="s">
        <v>1389</v>
      </c>
      <c r="FK167" s="391">
        <v>-0.75080192461908579</v>
      </c>
      <c r="FL167" s="31" t="s">
        <v>1394</v>
      </c>
      <c r="FN167" s="216" t="s">
        <v>1706</v>
      </c>
      <c r="FO167" s="216" t="s">
        <v>1707</v>
      </c>
      <c r="FP167" s="215" t="s">
        <v>1346</v>
      </c>
      <c r="FR167" s="402">
        <v>1</v>
      </c>
      <c r="FS167" s="402">
        <v>0</v>
      </c>
      <c r="FT167" s="402">
        <v>1</v>
      </c>
      <c r="FU167" s="402">
        <v>1</v>
      </c>
    </row>
    <row r="168" spans="1:177" ht="22" hidden="1" customHeight="1" x14ac:dyDescent="0.2">
      <c r="A168" s="13" t="s">
        <v>24</v>
      </c>
      <c r="B168" s="14" t="s">
        <v>90</v>
      </c>
      <c r="C168" s="14"/>
      <c r="D168" s="14"/>
      <c r="E168" s="128" t="s">
        <v>186</v>
      </c>
      <c r="F168" s="15"/>
      <c r="G168" s="15" t="s">
        <v>634</v>
      </c>
      <c r="H168" s="91">
        <f t="shared" si="205"/>
        <v>1</v>
      </c>
      <c r="I168" s="95">
        <f t="shared" si="203"/>
        <v>0</v>
      </c>
      <c r="J168" s="91"/>
      <c r="K168" s="256">
        <f t="shared" si="137"/>
        <v>1</v>
      </c>
      <c r="L168" s="101">
        <v>0</v>
      </c>
      <c r="M168" s="99"/>
      <c r="N168" s="89"/>
      <c r="O168" s="98" t="str">
        <f t="shared" si="136"/>
        <v>_x000D__x000D_</v>
      </c>
      <c r="P168" s="98"/>
      <c r="Q168" s="55"/>
      <c r="R168" s="64" t="s">
        <v>918</v>
      </c>
      <c r="S168" s="425"/>
      <c r="T168" s="300" t="s">
        <v>834</v>
      </c>
      <c r="U168" s="300" t="s">
        <v>834</v>
      </c>
      <c r="V168" s="300" t="s">
        <v>834</v>
      </c>
      <c r="W168" s="258"/>
      <c r="X168" s="307" t="s">
        <v>834</v>
      </c>
      <c r="Y168" s="274"/>
      <c r="Z168" s="426"/>
      <c r="AA168" s="320">
        <f t="shared" si="182"/>
        <v>0</v>
      </c>
      <c r="AB168" s="320">
        <f t="shared" si="183"/>
        <v>0</v>
      </c>
      <c r="AC168" s="320">
        <f t="shared" si="184"/>
        <v>0</v>
      </c>
      <c r="AD168" s="320">
        <f t="shared" si="185"/>
        <v>0</v>
      </c>
      <c r="AE168" s="320">
        <f t="shared" si="186"/>
        <v>0</v>
      </c>
      <c r="AF168" s="320">
        <f t="shared" si="187"/>
        <v>0</v>
      </c>
      <c r="AG168" s="320">
        <f t="shared" si="188"/>
        <v>0</v>
      </c>
      <c r="AH168" s="427"/>
      <c r="AI168" s="320">
        <f t="shared" si="189"/>
        <v>0</v>
      </c>
      <c r="AJ168" s="320">
        <f t="shared" si="190"/>
        <v>0</v>
      </c>
      <c r="AK168" s="320">
        <f t="shared" si="191"/>
        <v>0</v>
      </c>
      <c r="AL168" s="320">
        <f t="shared" si="192"/>
        <v>0</v>
      </c>
      <c r="AM168" s="320">
        <f t="shared" si="193"/>
        <v>0</v>
      </c>
      <c r="AN168" s="320">
        <f t="shared" si="194"/>
        <v>0</v>
      </c>
      <c r="AO168" s="427"/>
      <c r="AP168" s="320">
        <f t="shared" si="173"/>
        <v>0</v>
      </c>
      <c r="AQ168" s="320">
        <f t="shared" si="148"/>
        <v>0</v>
      </c>
      <c r="AR168" s="320">
        <f t="shared" si="149"/>
        <v>0</v>
      </c>
      <c r="AS168" s="320">
        <f t="shared" si="150"/>
        <v>0</v>
      </c>
      <c r="AT168" s="320">
        <f t="shared" si="151"/>
        <v>0</v>
      </c>
      <c r="AU168" s="320">
        <f t="shared" si="152"/>
        <v>0</v>
      </c>
      <c r="AV168" s="427"/>
      <c r="AW168" s="320">
        <f t="shared" si="153"/>
        <v>0</v>
      </c>
      <c r="AX168" s="320">
        <f t="shared" si="154"/>
        <v>0</v>
      </c>
      <c r="AY168" s="320">
        <f t="shared" si="155"/>
        <v>0</v>
      </c>
      <c r="AZ168" s="320">
        <f t="shared" si="156"/>
        <v>0</v>
      </c>
      <c r="BA168" s="17"/>
      <c r="BB168" s="17" t="s">
        <v>834</v>
      </c>
      <c r="BC168" s="17"/>
      <c r="BD168" s="17"/>
      <c r="BE168" s="17"/>
      <c r="BF168" s="17"/>
      <c r="BG168" s="428">
        <f t="shared" si="195"/>
        <v>0</v>
      </c>
      <c r="BH168" s="17"/>
      <c r="BI168" s="17"/>
      <c r="BJ168" s="17"/>
      <c r="BK168" s="17"/>
      <c r="BL168" s="17"/>
      <c r="BM168" s="17"/>
      <c r="BN168" s="320">
        <f t="shared" si="196"/>
        <v>0</v>
      </c>
      <c r="BO168" s="320">
        <f t="shared" si="197"/>
        <v>0</v>
      </c>
      <c r="BP168" s="427"/>
      <c r="BQ168" s="427"/>
      <c r="BR168" s="320">
        <f t="shared" si="199"/>
        <v>0</v>
      </c>
      <c r="BS168" s="320">
        <f t="shared" si="199"/>
        <v>0</v>
      </c>
      <c r="BT168" s="427"/>
      <c r="BU168" s="320">
        <f t="shared" si="198"/>
        <v>0</v>
      </c>
      <c r="BV168" s="320">
        <f t="shared" si="158"/>
        <v>0</v>
      </c>
      <c r="BW168" s="320">
        <f t="shared" si="175"/>
        <v>0</v>
      </c>
      <c r="BX168" s="427"/>
      <c r="BY168" s="320">
        <f t="shared" si="133"/>
        <v>0</v>
      </c>
      <c r="BZ168" s="320">
        <f t="shared" si="159"/>
        <v>0</v>
      </c>
      <c r="CA168" s="320">
        <f t="shared" si="127"/>
        <v>0</v>
      </c>
      <c r="CB168" s="320">
        <f t="shared" si="134"/>
        <v>0</v>
      </c>
      <c r="CC168" s="427"/>
      <c r="CD168" s="320">
        <f t="shared" si="160"/>
        <v>0</v>
      </c>
      <c r="CE168" s="320">
        <f t="shared" si="161"/>
        <v>0</v>
      </c>
      <c r="CF168" s="320">
        <f t="shared" si="162"/>
        <v>0</v>
      </c>
      <c r="CG168" s="320">
        <f t="shared" si="163"/>
        <v>0</v>
      </c>
      <c r="CH168" s="427"/>
      <c r="CI168" s="427"/>
      <c r="CJ168" s="427"/>
      <c r="CK168" s="427"/>
      <c r="CL168" s="320">
        <f t="shared" si="178"/>
        <v>0</v>
      </c>
      <c r="CM168" s="320">
        <f t="shared" si="164"/>
        <v>0</v>
      </c>
      <c r="CN168" s="320">
        <f t="shared" si="165"/>
        <v>0</v>
      </c>
      <c r="CO168" s="320">
        <f t="shared" si="204"/>
        <v>0</v>
      </c>
      <c r="CP168" s="427"/>
      <c r="CQ168" s="427"/>
      <c r="CR168" s="320">
        <f t="shared" si="167"/>
        <v>0</v>
      </c>
      <c r="CS168" s="320">
        <f t="shared" si="176"/>
        <v>0</v>
      </c>
      <c r="CT168" s="320">
        <f t="shared" si="200"/>
        <v>0</v>
      </c>
      <c r="CU168" s="320">
        <f t="shared" si="201"/>
        <v>0</v>
      </c>
      <c r="CV168" s="427"/>
      <c r="CW168" s="17"/>
      <c r="CX168" s="320">
        <f t="shared" si="202"/>
        <v>0</v>
      </c>
      <c r="CY168" s="320">
        <f t="shared" si="168"/>
        <v>0</v>
      </c>
      <c r="CZ168" s="320">
        <f t="shared" si="169"/>
        <v>0</v>
      </c>
      <c r="DA168" s="17"/>
      <c r="DB168" s="17"/>
      <c r="DC168" s="17"/>
      <c r="DD168" s="31"/>
      <c r="DE168" s="321"/>
      <c r="DF168" s="321"/>
      <c r="DG168" s="321"/>
      <c r="DH168" s="321"/>
      <c r="DI168" s="321"/>
      <c r="DJ168" s="321"/>
      <c r="DK168" s="321"/>
      <c r="DL168" s="321"/>
      <c r="DM168" s="321"/>
      <c r="DN168" s="321"/>
      <c r="DO168" s="321"/>
      <c r="DP168" s="322"/>
      <c r="DQ168" s="288"/>
      <c r="DR168" s="241"/>
      <c r="DS168" s="429">
        <f t="shared" si="170"/>
        <v>0</v>
      </c>
      <c r="DT168" s="429"/>
      <c r="DU168" s="429"/>
      <c r="DV168" s="429"/>
      <c r="DW168" s="429"/>
      <c r="DX168" s="429"/>
      <c r="DY168" s="429"/>
      <c r="DZ168" s="134"/>
      <c r="EA168" s="134"/>
      <c r="EB168" s="134"/>
      <c r="EC168" s="134"/>
      <c r="ED168" s="123"/>
      <c r="EH168" s="46"/>
      <c r="EI168" s="45"/>
      <c r="EJ168" s="33" t="b">
        <f t="shared" si="171"/>
        <v>0</v>
      </c>
      <c r="EK168" s="42"/>
      <c r="EL168" s="42"/>
      <c r="EM168" s="42"/>
      <c r="EN168" s="439"/>
      <c r="EO168" s="439"/>
      <c r="EP168" s="439"/>
      <c r="EQ168" s="47"/>
      <c r="ER168" s="440"/>
      <c r="ES168" s="431"/>
      <c r="ET168" s="431"/>
      <c r="EU168" s="431"/>
      <c r="EV168" s="447"/>
      <c r="EZ168" s="393" t="s">
        <v>186</v>
      </c>
      <c r="FA168" s="393" t="s">
        <v>186</v>
      </c>
      <c r="FB168" s="389">
        <v>2324</v>
      </c>
      <c r="FC168" s="389">
        <v>2268</v>
      </c>
      <c r="FD168" s="389">
        <v>2241</v>
      </c>
      <c r="FE168" s="389">
        <v>2213</v>
      </c>
      <c r="FF168" s="389">
        <v>2185</v>
      </c>
      <c r="FG168" s="390">
        <v>-2.3809523809523807E-3</v>
      </c>
      <c r="FH168" s="390">
        <v>-2.4988844265952702E-3</v>
      </c>
      <c r="FI168" s="390">
        <v>-2.5305015815634884E-3</v>
      </c>
      <c r="FJ168" s="391">
        <v>1.2652507907817327E-2</v>
      </c>
      <c r="FK168" s="391" t="s">
        <v>1386</v>
      </c>
      <c r="FL168" s="31" t="s">
        <v>1379</v>
      </c>
      <c r="FN168" s="128" t="s">
        <v>1708</v>
      </c>
      <c r="FO168" s="128" t="s">
        <v>1709</v>
      </c>
      <c r="FP168" s="128"/>
    </row>
    <row r="169" spans="1:177" ht="22" hidden="1" customHeight="1" x14ac:dyDescent="0.2">
      <c r="A169" s="13" t="s">
        <v>10</v>
      </c>
      <c r="B169" s="14" t="s">
        <v>51</v>
      </c>
      <c r="C169" s="14"/>
      <c r="D169" s="14"/>
      <c r="E169" s="128" t="s">
        <v>187</v>
      </c>
      <c r="F169" s="15"/>
      <c r="G169" s="15" t="s">
        <v>634</v>
      </c>
      <c r="H169" s="91">
        <f t="shared" si="205"/>
        <v>1</v>
      </c>
      <c r="I169" s="95">
        <f t="shared" si="203"/>
        <v>0</v>
      </c>
      <c r="J169" s="91"/>
      <c r="K169" s="256">
        <f t="shared" si="137"/>
        <v>1</v>
      </c>
      <c r="L169" s="101">
        <v>0</v>
      </c>
      <c r="M169" s="25"/>
      <c r="N169" s="89"/>
      <c r="O169" s="98" t="str">
        <f t="shared" si="136"/>
        <v>_x000D__x000D_</v>
      </c>
      <c r="P169" s="98"/>
      <c r="Q169" s="55"/>
      <c r="R169" s="64" t="s">
        <v>918</v>
      </c>
      <c r="S169" s="425"/>
      <c r="T169" s="300" t="s">
        <v>862</v>
      </c>
      <c r="U169" s="300" t="s">
        <v>254</v>
      </c>
      <c r="V169" s="300" t="s">
        <v>834</v>
      </c>
      <c r="W169" s="258"/>
      <c r="X169" s="307" t="s">
        <v>834</v>
      </c>
      <c r="Y169" s="274"/>
      <c r="Z169" s="426"/>
      <c r="AA169" s="320">
        <f t="shared" si="182"/>
        <v>0</v>
      </c>
      <c r="AB169" s="320">
        <f t="shared" si="183"/>
        <v>0</v>
      </c>
      <c r="AC169" s="320">
        <f t="shared" si="184"/>
        <v>0</v>
      </c>
      <c r="AD169" s="320">
        <f t="shared" si="185"/>
        <v>0</v>
      </c>
      <c r="AE169" s="320">
        <f t="shared" si="186"/>
        <v>0</v>
      </c>
      <c r="AF169" s="320">
        <f t="shared" si="187"/>
        <v>0</v>
      </c>
      <c r="AG169" s="320">
        <f t="shared" si="188"/>
        <v>0</v>
      </c>
      <c r="AH169" s="427"/>
      <c r="AI169" s="320">
        <f t="shared" si="189"/>
        <v>0</v>
      </c>
      <c r="AJ169" s="320">
        <f t="shared" si="190"/>
        <v>0</v>
      </c>
      <c r="AK169" s="320">
        <f t="shared" si="191"/>
        <v>0</v>
      </c>
      <c r="AL169" s="320">
        <f t="shared" si="192"/>
        <v>0</v>
      </c>
      <c r="AM169" s="320">
        <f t="shared" si="193"/>
        <v>0</v>
      </c>
      <c r="AN169" s="320">
        <f t="shared" si="194"/>
        <v>0</v>
      </c>
      <c r="AO169" s="427"/>
      <c r="AP169" s="320">
        <f t="shared" si="173"/>
        <v>0</v>
      </c>
      <c r="AQ169" s="320">
        <f t="shared" si="148"/>
        <v>0</v>
      </c>
      <c r="AR169" s="320">
        <f t="shared" si="149"/>
        <v>0</v>
      </c>
      <c r="AS169" s="320">
        <f t="shared" si="150"/>
        <v>0</v>
      </c>
      <c r="AT169" s="320">
        <f t="shared" si="151"/>
        <v>0</v>
      </c>
      <c r="AU169" s="320">
        <f t="shared" si="152"/>
        <v>0</v>
      </c>
      <c r="AV169" s="427"/>
      <c r="AW169" s="320">
        <f t="shared" si="153"/>
        <v>0</v>
      </c>
      <c r="AX169" s="320">
        <f t="shared" si="154"/>
        <v>0</v>
      </c>
      <c r="AY169" s="320">
        <f t="shared" si="155"/>
        <v>0</v>
      </c>
      <c r="AZ169" s="320">
        <f t="shared" si="156"/>
        <v>0</v>
      </c>
      <c r="BA169" s="17"/>
      <c r="BB169" s="17" t="s">
        <v>862</v>
      </c>
      <c r="BC169" s="17"/>
      <c r="BD169" s="17"/>
      <c r="BE169" s="17"/>
      <c r="BF169" s="17"/>
      <c r="BG169" s="428">
        <f t="shared" si="195"/>
        <v>0</v>
      </c>
      <c r="BH169" s="17"/>
      <c r="BI169" s="17" t="s">
        <v>254</v>
      </c>
      <c r="BJ169" s="17"/>
      <c r="BK169" s="17"/>
      <c r="BL169" s="17"/>
      <c r="BM169" s="17"/>
      <c r="BN169" s="320">
        <f t="shared" si="196"/>
        <v>0</v>
      </c>
      <c r="BO169" s="320">
        <f t="shared" si="197"/>
        <v>0</v>
      </c>
      <c r="BP169" s="427"/>
      <c r="BQ169" s="427"/>
      <c r="BR169" s="320">
        <f t="shared" si="199"/>
        <v>0</v>
      </c>
      <c r="BS169" s="320">
        <f t="shared" si="199"/>
        <v>0</v>
      </c>
      <c r="BT169" s="427"/>
      <c r="BU169" s="320">
        <f t="shared" si="198"/>
        <v>0</v>
      </c>
      <c r="BV169" s="320">
        <f t="shared" si="158"/>
        <v>0</v>
      </c>
      <c r="BW169" s="320">
        <f t="shared" si="175"/>
        <v>0</v>
      </c>
      <c r="BX169" s="427"/>
      <c r="BY169" s="320">
        <f t="shared" si="133"/>
        <v>0</v>
      </c>
      <c r="BZ169" s="320">
        <f t="shared" si="159"/>
        <v>0</v>
      </c>
      <c r="CA169" s="320">
        <f t="shared" ref="CA169:CA203" si="206">IF(ISNUMBER(SEARCH("3",$BX169)),1,0)</f>
        <v>0</v>
      </c>
      <c r="CB169" s="320">
        <f t="shared" si="134"/>
        <v>0</v>
      </c>
      <c r="CC169" s="427"/>
      <c r="CD169" s="320">
        <f t="shared" si="160"/>
        <v>0</v>
      </c>
      <c r="CE169" s="320">
        <f t="shared" si="161"/>
        <v>0</v>
      </c>
      <c r="CF169" s="320">
        <f t="shared" si="162"/>
        <v>0</v>
      </c>
      <c r="CG169" s="320">
        <f t="shared" si="163"/>
        <v>0</v>
      </c>
      <c r="CH169" s="427"/>
      <c r="CI169" s="427"/>
      <c r="CJ169" s="427"/>
      <c r="CK169" s="427"/>
      <c r="CL169" s="320">
        <f t="shared" si="178"/>
        <v>0</v>
      </c>
      <c r="CM169" s="320">
        <f t="shared" si="164"/>
        <v>0</v>
      </c>
      <c r="CN169" s="320">
        <f t="shared" si="165"/>
        <v>0</v>
      </c>
      <c r="CO169" s="320">
        <f t="shared" si="204"/>
        <v>0</v>
      </c>
      <c r="CP169" s="427"/>
      <c r="CQ169" s="427"/>
      <c r="CR169" s="320">
        <f t="shared" si="167"/>
        <v>0</v>
      </c>
      <c r="CS169" s="320">
        <f t="shared" si="176"/>
        <v>0</v>
      </c>
      <c r="CT169" s="320">
        <f t="shared" si="200"/>
        <v>0</v>
      </c>
      <c r="CU169" s="320">
        <f t="shared" si="201"/>
        <v>0</v>
      </c>
      <c r="CV169" s="427"/>
      <c r="CW169" s="17"/>
      <c r="CX169" s="320">
        <f t="shared" si="202"/>
        <v>0</v>
      </c>
      <c r="CY169" s="320">
        <f t="shared" si="168"/>
        <v>0</v>
      </c>
      <c r="CZ169" s="320">
        <f t="shared" si="169"/>
        <v>0</v>
      </c>
      <c r="DA169" s="17"/>
      <c r="DB169" s="17"/>
      <c r="DC169" s="17"/>
      <c r="DD169" s="31"/>
      <c r="DE169" s="323"/>
      <c r="DF169" s="323"/>
      <c r="DG169" s="323"/>
      <c r="DH169" s="323"/>
      <c r="DI169" s="323"/>
      <c r="DJ169" s="323"/>
      <c r="DK169" s="323"/>
      <c r="DL169" s="323"/>
      <c r="DM169" s="323"/>
      <c r="DN169" s="323"/>
      <c r="DO169" s="323"/>
      <c r="DP169" s="324"/>
      <c r="DQ169" s="288"/>
      <c r="DR169" s="242"/>
      <c r="DS169" s="429">
        <f t="shared" si="170"/>
        <v>0</v>
      </c>
      <c r="DT169" s="429"/>
      <c r="DU169" s="429"/>
      <c r="DV169" s="429"/>
      <c r="DW169" s="429"/>
      <c r="DX169" s="429"/>
      <c r="DY169" s="429"/>
      <c r="DZ169" s="134"/>
      <c r="EA169" s="134"/>
      <c r="EB169" s="134"/>
      <c r="EC169" s="134"/>
      <c r="ED169" s="123"/>
      <c r="EH169" s="44"/>
      <c r="EI169" s="45"/>
      <c r="EJ169" s="33" t="b">
        <f t="shared" si="171"/>
        <v>0</v>
      </c>
      <c r="EK169" s="42"/>
      <c r="EL169" s="42"/>
      <c r="EM169" s="42"/>
      <c r="EN169" s="439"/>
      <c r="EO169" s="439"/>
      <c r="EP169" s="439"/>
      <c r="EQ169" s="38"/>
      <c r="ER169" s="440"/>
      <c r="ES169" s="431"/>
      <c r="ET169" s="431"/>
      <c r="EU169" s="431"/>
      <c r="EV169" s="447"/>
      <c r="EZ169" s="393" t="s">
        <v>187</v>
      </c>
      <c r="FA169" s="393" t="s">
        <v>187</v>
      </c>
      <c r="FB169" s="389">
        <v>8282</v>
      </c>
      <c r="FC169" s="389">
        <v>7515</v>
      </c>
      <c r="FD169" s="389">
        <v>7131</v>
      </c>
      <c r="FE169" s="389">
        <v>6747</v>
      </c>
      <c r="FF169" s="389">
        <v>6363</v>
      </c>
      <c r="FG169" s="390">
        <v>-1.0219560878243512E-2</v>
      </c>
      <c r="FH169" s="390">
        <v>-1.0769877997475811E-2</v>
      </c>
      <c r="FI169" s="390">
        <v>-1.1382836816362828E-2</v>
      </c>
      <c r="FJ169" s="391">
        <v>5.6914184081814076E-2</v>
      </c>
      <c r="FK169" s="391" t="s">
        <v>1386</v>
      </c>
      <c r="FL169" s="31" t="s">
        <v>1379</v>
      </c>
      <c r="FN169" s="128" t="s">
        <v>1710</v>
      </c>
      <c r="FO169" s="128" t="s">
        <v>1711</v>
      </c>
      <c r="FP169" s="128"/>
    </row>
    <row r="170" spans="1:177" ht="22" hidden="1" customHeight="1" x14ac:dyDescent="0.2">
      <c r="A170" s="13" t="s">
        <v>10</v>
      </c>
      <c r="B170" s="14" t="s">
        <v>44</v>
      </c>
      <c r="C170" s="14"/>
      <c r="D170" s="14"/>
      <c r="E170" s="128" t="s">
        <v>188</v>
      </c>
      <c r="F170" s="15"/>
      <c r="G170" s="15" t="s">
        <v>634</v>
      </c>
      <c r="H170" s="91">
        <f t="shared" si="205"/>
        <v>1</v>
      </c>
      <c r="I170" s="95">
        <f t="shared" si="203"/>
        <v>0</v>
      </c>
      <c r="J170" s="91"/>
      <c r="K170" s="256">
        <f t="shared" si="137"/>
        <v>1</v>
      </c>
      <c r="L170" s="101">
        <v>0</v>
      </c>
      <c r="M170" s="99"/>
      <c r="N170" s="89"/>
      <c r="O170" s="98" t="str">
        <f t="shared" si="136"/>
        <v>_x000D__x000D_</v>
      </c>
      <c r="P170" s="98"/>
      <c r="Q170" s="55"/>
      <c r="R170" s="64" t="s">
        <v>918</v>
      </c>
      <c r="S170" s="425"/>
      <c r="T170" s="300" t="s">
        <v>880</v>
      </c>
      <c r="U170" s="300" t="s">
        <v>905</v>
      </c>
      <c r="V170" s="300" t="s">
        <v>834</v>
      </c>
      <c r="W170" s="258"/>
      <c r="X170" s="307" t="s">
        <v>834</v>
      </c>
      <c r="Y170" s="274"/>
      <c r="Z170" s="426"/>
      <c r="AA170" s="320">
        <f t="shared" si="182"/>
        <v>0</v>
      </c>
      <c r="AB170" s="320">
        <f t="shared" si="183"/>
        <v>0</v>
      </c>
      <c r="AC170" s="320">
        <f t="shared" si="184"/>
        <v>0</v>
      </c>
      <c r="AD170" s="320">
        <f t="shared" si="185"/>
        <v>0</v>
      </c>
      <c r="AE170" s="320">
        <f t="shared" si="186"/>
        <v>0</v>
      </c>
      <c r="AF170" s="320">
        <f t="shared" si="187"/>
        <v>0</v>
      </c>
      <c r="AG170" s="320">
        <f t="shared" si="188"/>
        <v>0</v>
      </c>
      <c r="AH170" s="427"/>
      <c r="AI170" s="320">
        <f t="shared" si="189"/>
        <v>0</v>
      </c>
      <c r="AJ170" s="320">
        <f t="shared" si="190"/>
        <v>0</v>
      </c>
      <c r="AK170" s="320">
        <f t="shared" si="191"/>
        <v>0</v>
      </c>
      <c r="AL170" s="320">
        <f t="shared" si="192"/>
        <v>0</v>
      </c>
      <c r="AM170" s="320">
        <f t="shared" si="193"/>
        <v>0</v>
      </c>
      <c r="AN170" s="320">
        <f t="shared" si="194"/>
        <v>0</v>
      </c>
      <c r="AO170" s="427"/>
      <c r="AP170" s="320">
        <f t="shared" si="173"/>
        <v>0</v>
      </c>
      <c r="AQ170" s="320">
        <f t="shared" si="148"/>
        <v>0</v>
      </c>
      <c r="AR170" s="320">
        <f t="shared" si="149"/>
        <v>0</v>
      </c>
      <c r="AS170" s="320">
        <f t="shared" si="150"/>
        <v>0</v>
      </c>
      <c r="AT170" s="320">
        <f t="shared" si="151"/>
        <v>0</v>
      </c>
      <c r="AU170" s="320">
        <f t="shared" si="152"/>
        <v>0</v>
      </c>
      <c r="AV170" s="427"/>
      <c r="AW170" s="320">
        <f t="shared" si="153"/>
        <v>0</v>
      </c>
      <c r="AX170" s="320">
        <f t="shared" si="154"/>
        <v>0</v>
      </c>
      <c r="AY170" s="320">
        <f t="shared" si="155"/>
        <v>0</v>
      </c>
      <c r="AZ170" s="320">
        <f t="shared" si="156"/>
        <v>0</v>
      </c>
      <c r="BA170" s="17"/>
      <c r="BB170" s="17" t="s">
        <v>880</v>
      </c>
      <c r="BC170" s="17"/>
      <c r="BD170" s="17"/>
      <c r="BE170" s="17"/>
      <c r="BF170" s="17"/>
      <c r="BG170" s="428">
        <f t="shared" si="195"/>
        <v>0</v>
      </c>
      <c r="BH170" s="17"/>
      <c r="BI170" s="17" t="s">
        <v>654</v>
      </c>
      <c r="BJ170" s="17"/>
      <c r="BK170" s="17"/>
      <c r="BL170" s="17"/>
      <c r="BM170" s="17"/>
      <c r="BN170" s="320">
        <f t="shared" si="196"/>
        <v>0</v>
      </c>
      <c r="BO170" s="320">
        <f t="shared" si="197"/>
        <v>0</v>
      </c>
      <c r="BP170" s="427"/>
      <c r="BQ170" s="427"/>
      <c r="BR170" s="320">
        <f t="shared" si="199"/>
        <v>0</v>
      </c>
      <c r="BS170" s="320">
        <f t="shared" si="199"/>
        <v>0</v>
      </c>
      <c r="BT170" s="427"/>
      <c r="BU170" s="320">
        <f t="shared" si="198"/>
        <v>0</v>
      </c>
      <c r="BV170" s="320">
        <f t="shared" si="158"/>
        <v>0</v>
      </c>
      <c r="BW170" s="320">
        <f t="shared" si="175"/>
        <v>0</v>
      </c>
      <c r="BX170" s="427"/>
      <c r="BY170" s="320">
        <f t="shared" si="133"/>
        <v>0</v>
      </c>
      <c r="BZ170" s="320">
        <f t="shared" si="159"/>
        <v>0</v>
      </c>
      <c r="CA170" s="320">
        <f t="shared" si="206"/>
        <v>0</v>
      </c>
      <c r="CB170" s="320">
        <f t="shared" si="134"/>
        <v>0</v>
      </c>
      <c r="CC170" s="427"/>
      <c r="CD170" s="320">
        <f t="shared" si="160"/>
        <v>0</v>
      </c>
      <c r="CE170" s="320">
        <f t="shared" si="161"/>
        <v>0</v>
      </c>
      <c r="CF170" s="320">
        <f t="shared" si="162"/>
        <v>0</v>
      </c>
      <c r="CG170" s="320">
        <f t="shared" si="163"/>
        <v>0</v>
      </c>
      <c r="CH170" s="427"/>
      <c r="CI170" s="427"/>
      <c r="CJ170" s="427"/>
      <c r="CK170" s="427"/>
      <c r="CL170" s="320">
        <f t="shared" si="178"/>
        <v>0</v>
      </c>
      <c r="CM170" s="320">
        <f t="shared" si="164"/>
        <v>0</v>
      </c>
      <c r="CN170" s="320">
        <f t="shared" si="165"/>
        <v>0</v>
      </c>
      <c r="CO170" s="320">
        <f t="shared" si="204"/>
        <v>0</v>
      </c>
      <c r="CP170" s="427"/>
      <c r="CQ170" s="427"/>
      <c r="CR170" s="320">
        <f t="shared" si="167"/>
        <v>0</v>
      </c>
      <c r="CS170" s="320">
        <f t="shared" si="176"/>
        <v>0</v>
      </c>
      <c r="CT170" s="320">
        <f t="shared" si="200"/>
        <v>0</v>
      </c>
      <c r="CU170" s="320">
        <f t="shared" si="201"/>
        <v>0</v>
      </c>
      <c r="CV170" s="427"/>
      <c r="CW170" s="17"/>
      <c r="CX170" s="320">
        <f t="shared" si="202"/>
        <v>0</v>
      </c>
      <c r="CY170" s="320">
        <f t="shared" si="168"/>
        <v>0</v>
      </c>
      <c r="CZ170" s="320">
        <f t="shared" si="169"/>
        <v>0</v>
      </c>
      <c r="DA170" s="17"/>
      <c r="DB170" s="17"/>
      <c r="DC170" s="17"/>
      <c r="DD170" s="31"/>
      <c r="DE170" s="321"/>
      <c r="DF170" s="321"/>
      <c r="DG170" s="321"/>
      <c r="DH170" s="321"/>
      <c r="DI170" s="321"/>
      <c r="DJ170" s="321"/>
      <c r="DK170" s="321"/>
      <c r="DL170" s="321"/>
      <c r="DM170" s="321"/>
      <c r="DN170" s="321"/>
      <c r="DO170" s="321"/>
      <c r="DP170" s="322"/>
      <c r="DQ170" s="288"/>
      <c r="DR170" s="241"/>
      <c r="DS170" s="429">
        <f t="shared" si="170"/>
        <v>0</v>
      </c>
      <c r="DT170" s="429"/>
      <c r="DU170" s="429"/>
      <c r="DV170" s="429"/>
      <c r="DW170" s="429"/>
      <c r="DX170" s="429"/>
      <c r="DY170" s="429"/>
      <c r="DZ170" s="134"/>
      <c r="EA170" s="134"/>
      <c r="EB170" s="134"/>
      <c r="EC170" s="134"/>
      <c r="ED170" s="123"/>
      <c r="EH170" s="46">
        <v>0</v>
      </c>
      <c r="EI170" s="45"/>
      <c r="EJ170" s="33" t="b">
        <f t="shared" si="171"/>
        <v>0</v>
      </c>
      <c r="EK170" s="42"/>
      <c r="EL170" s="42"/>
      <c r="EM170" s="42"/>
      <c r="EN170" s="439"/>
      <c r="EO170" s="439"/>
      <c r="EP170" s="439"/>
      <c r="EQ170" s="47"/>
      <c r="ER170" s="440"/>
      <c r="ES170" s="431"/>
      <c r="ET170" s="431"/>
      <c r="EU170" s="431"/>
      <c r="EV170" s="447"/>
      <c r="EZ170" s="393" t="s">
        <v>188</v>
      </c>
      <c r="FA170" s="393" t="s">
        <v>188</v>
      </c>
      <c r="FB170" s="389">
        <v>9241</v>
      </c>
      <c r="FC170" s="389">
        <v>9241</v>
      </c>
      <c r="FD170" s="389">
        <v>9241</v>
      </c>
      <c r="FE170" s="389">
        <v>9241</v>
      </c>
      <c r="FF170" s="389">
        <v>9241</v>
      </c>
      <c r="FG170" s="390">
        <v>0</v>
      </c>
      <c r="FH170" s="390">
        <v>0</v>
      </c>
      <c r="FI170" s="390">
        <v>0</v>
      </c>
      <c r="FJ170" s="391">
        <v>0</v>
      </c>
      <c r="FK170" s="391" t="s">
        <v>1386</v>
      </c>
      <c r="FL170" s="31" t="s">
        <v>1387</v>
      </c>
      <c r="FN170" s="128" t="s">
        <v>1712</v>
      </c>
      <c r="FO170" s="128" t="s">
        <v>1713</v>
      </c>
      <c r="FP170" s="128"/>
    </row>
    <row r="171" spans="1:177" ht="22" hidden="1" customHeight="1" x14ac:dyDescent="0.2">
      <c r="A171" s="13" t="s">
        <v>10</v>
      </c>
      <c r="B171" s="14" t="s">
        <v>51</v>
      </c>
      <c r="C171" s="9" t="s">
        <v>1052</v>
      </c>
      <c r="D171" s="14"/>
      <c r="E171" s="128" t="s">
        <v>189</v>
      </c>
      <c r="F171" s="15"/>
      <c r="G171" s="15" t="s">
        <v>634</v>
      </c>
      <c r="H171" s="91">
        <f t="shared" si="205"/>
        <v>1</v>
      </c>
      <c r="I171" s="95">
        <f t="shared" si="203"/>
        <v>0</v>
      </c>
      <c r="J171" s="91"/>
      <c r="K171" s="256">
        <f t="shared" si="137"/>
        <v>1</v>
      </c>
      <c r="L171" s="101">
        <v>0</v>
      </c>
      <c r="M171" s="99"/>
      <c r="N171" s="89"/>
      <c r="O171" s="98" t="str">
        <f t="shared" si="136"/>
        <v>_x000D__x000D_</v>
      </c>
      <c r="P171" s="98" t="str">
        <f>CONCATENATE(V171,R171,X171)</f>
        <v>_x000D__x000D_</v>
      </c>
      <c r="Q171" s="55"/>
      <c r="R171" s="64" t="s">
        <v>918</v>
      </c>
      <c r="S171" s="425"/>
      <c r="T171" s="300" t="s">
        <v>834</v>
      </c>
      <c r="U171" s="300" t="s">
        <v>834</v>
      </c>
      <c r="V171" s="300" t="s">
        <v>834</v>
      </c>
      <c r="W171" s="258"/>
      <c r="X171" s="307" t="s">
        <v>834</v>
      </c>
      <c r="Y171" s="274"/>
      <c r="Z171" s="426"/>
      <c r="AA171" s="320">
        <f t="shared" si="182"/>
        <v>0</v>
      </c>
      <c r="AB171" s="320">
        <f t="shared" si="183"/>
        <v>0</v>
      </c>
      <c r="AC171" s="320">
        <f t="shared" si="184"/>
        <v>0</v>
      </c>
      <c r="AD171" s="320">
        <f t="shared" si="185"/>
        <v>0</v>
      </c>
      <c r="AE171" s="320">
        <f t="shared" si="186"/>
        <v>0</v>
      </c>
      <c r="AF171" s="320">
        <f t="shared" si="187"/>
        <v>0</v>
      </c>
      <c r="AG171" s="320">
        <f t="shared" si="188"/>
        <v>0</v>
      </c>
      <c r="AH171" s="427"/>
      <c r="AI171" s="320">
        <f t="shared" si="189"/>
        <v>0</v>
      </c>
      <c r="AJ171" s="320">
        <f t="shared" si="190"/>
        <v>0</v>
      </c>
      <c r="AK171" s="320">
        <f t="shared" si="191"/>
        <v>0</v>
      </c>
      <c r="AL171" s="320">
        <f t="shared" si="192"/>
        <v>0</v>
      </c>
      <c r="AM171" s="320">
        <f t="shared" si="193"/>
        <v>0</v>
      </c>
      <c r="AN171" s="320">
        <f t="shared" si="194"/>
        <v>0</v>
      </c>
      <c r="AO171" s="427"/>
      <c r="AP171" s="320">
        <f t="shared" si="173"/>
        <v>0</v>
      </c>
      <c r="AQ171" s="320">
        <f t="shared" si="148"/>
        <v>0</v>
      </c>
      <c r="AR171" s="320">
        <f t="shared" si="149"/>
        <v>0</v>
      </c>
      <c r="AS171" s="320">
        <f t="shared" si="150"/>
        <v>0</v>
      </c>
      <c r="AT171" s="320">
        <f t="shared" si="151"/>
        <v>0</v>
      </c>
      <c r="AU171" s="320">
        <f t="shared" si="152"/>
        <v>0</v>
      </c>
      <c r="AV171" s="427"/>
      <c r="AW171" s="320">
        <f t="shared" si="153"/>
        <v>0</v>
      </c>
      <c r="AX171" s="320">
        <f t="shared" si="154"/>
        <v>0</v>
      </c>
      <c r="AY171" s="320">
        <f t="shared" si="155"/>
        <v>0</v>
      </c>
      <c r="AZ171" s="320">
        <f t="shared" si="156"/>
        <v>0</v>
      </c>
      <c r="BA171" s="17"/>
      <c r="BB171" s="17" t="s">
        <v>834</v>
      </c>
      <c r="BC171" s="17"/>
      <c r="BD171" s="17"/>
      <c r="BE171" s="17"/>
      <c r="BF171" s="17"/>
      <c r="BG171" s="428">
        <f t="shared" si="195"/>
        <v>0</v>
      </c>
      <c r="BH171" s="17"/>
      <c r="BI171" s="17"/>
      <c r="BJ171" s="17"/>
      <c r="BK171" s="17"/>
      <c r="BL171" s="17"/>
      <c r="BM171" s="17"/>
      <c r="BN171" s="320">
        <f t="shared" si="196"/>
        <v>0</v>
      </c>
      <c r="BO171" s="320">
        <f t="shared" si="197"/>
        <v>0</v>
      </c>
      <c r="BP171" s="427"/>
      <c r="BQ171" s="427"/>
      <c r="BR171" s="320">
        <f t="shared" si="199"/>
        <v>0</v>
      </c>
      <c r="BS171" s="320">
        <f t="shared" si="199"/>
        <v>0</v>
      </c>
      <c r="BT171" s="427"/>
      <c r="BU171" s="320">
        <f t="shared" si="198"/>
        <v>0</v>
      </c>
      <c r="BV171" s="320">
        <f t="shared" si="158"/>
        <v>0</v>
      </c>
      <c r="BW171" s="320">
        <f t="shared" si="175"/>
        <v>0</v>
      </c>
      <c r="BX171" s="427"/>
      <c r="BY171" s="320">
        <f t="shared" si="133"/>
        <v>0</v>
      </c>
      <c r="BZ171" s="320">
        <f t="shared" si="159"/>
        <v>0</v>
      </c>
      <c r="CA171" s="320">
        <f t="shared" si="206"/>
        <v>0</v>
      </c>
      <c r="CB171" s="320">
        <f t="shared" si="134"/>
        <v>0</v>
      </c>
      <c r="CC171" s="427"/>
      <c r="CD171" s="320">
        <f t="shared" si="160"/>
        <v>0</v>
      </c>
      <c r="CE171" s="320">
        <f t="shared" si="161"/>
        <v>0</v>
      </c>
      <c r="CF171" s="320">
        <f t="shared" si="162"/>
        <v>0</v>
      </c>
      <c r="CG171" s="320">
        <f t="shared" si="163"/>
        <v>0</v>
      </c>
      <c r="CH171" s="427"/>
      <c r="CI171" s="427"/>
      <c r="CJ171" s="427"/>
      <c r="CK171" s="427"/>
      <c r="CL171" s="320">
        <f t="shared" si="178"/>
        <v>0</v>
      </c>
      <c r="CM171" s="320">
        <f t="shared" si="164"/>
        <v>0</v>
      </c>
      <c r="CN171" s="320">
        <f t="shared" si="165"/>
        <v>0</v>
      </c>
      <c r="CO171" s="320">
        <f t="shared" si="204"/>
        <v>0</v>
      </c>
      <c r="CP171" s="427"/>
      <c r="CQ171" s="427"/>
      <c r="CR171" s="320">
        <f t="shared" si="167"/>
        <v>0</v>
      </c>
      <c r="CS171" s="320">
        <f t="shared" si="176"/>
        <v>0</v>
      </c>
      <c r="CT171" s="320">
        <f t="shared" si="200"/>
        <v>0</v>
      </c>
      <c r="CU171" s="320">
        <f t="shared" si="201"/>
        <v>0</v>
      </c>
      <c r="CV171" s="427"/>
      <c r="CW171" s="17"/>
      <c r="CX171" s="320">
        <f t="shared" si="202"/>
        <v>0</v>
      </c>
      <c r="CY171" s="320">
        <f t="shared" si="168"/>
        <v>0</v>
      </c>
      <c r="CZ171" s="320">
        <f t="shared" si="169"/>
        <v>0</v>
      </c>
      <c r="DA171" s="17"/>
      <c r="DB171" s="17"/>
      <c r="DC171" s="17"/>
      <c r="DD171" s="31"/>
      <c r="DE171" s="323"/>
      <c r="DF171" s="323"/>
      <c r="DG171" s="323"/>
      <c r="DH171" s="323"/>
      <c r="DI171" s="323"/>
      <c r="DJ171" s="323"/>
      <c r="DK171" s="323"/>
      <c r="DL171" s="323"/>
      <c r="DM171" s="323"/>
      <c r="DN171" s="323"/>
      <c r="DO171" s="323"/>
      <c r="DP171" s="324"/>
      <c r="DQ171" s="288"/>
      <c r="DR171" s="242"/>
      <c r="DS171" s="429">
        <f t="shared" si="170"/>
        <v>0</v>
      </c>
      <c r="DT171" s="429"/>
      <c r="DU171" s="429"/>
      <c r="DV171" s="429"/>
      <c r="DW171" s="429"/>
      <c r="DX171" s="429"/>
      <c r="DY171" s="429"/>
      <c r="DZ171" s="134"/>
      <c r="EA171" s="134"/>
      <c r="EB171" s="134"/>
      <c r="EC171" s="134"/>
      <c r="ED171" s="123"/>
      <c r="EH171" s="44"/>
      <c r="EI171" s="45"/>
      <c r="EJ171" s="33" t="b">
        <f t="shared" si="171"/>
        <v>0</v>
      </c>
      <c r="EK171" s="439"/>
      <c r="EL171" s="439"/>
      <c r="EM171" s="439"/>
      <c r="EN171" s="439"/>
      <c r="EO171" s="439"/>
      <c r="EP171" s="439"/>
      <c r="EQ171" s="38"/>
      <c r="ER171" s="65"/>
      <c r="ES171" s="68"/>
      <c r="ET171" s="67"/>
      <c r="EU171" s="430"/>
      <c r="EV171" s="462"/>
      <c r="EZ171" s="393" t="s">
        <v>189</v>
      </c>
      <c r="FA171" s="393" t="s">
        <v>189</v>
      </c>
      <c r="FB171" s="389">
        <v>7157</v>
      </c>
      <c r="FC171" s="389">
        <v>7157</v>
      </c>
      <c r="FD171" s="389">
        <v>7157</v>
      </c>
      <c r="FE171" s="389">
        <v>7157</v>
      </c>
      <c r="FF171" s="389">
        <v>7157</v>
      </c>
      <c r="FG171" s="390">
        <v>0</v>
      </c>
      <c r="FH171" s="390">
        <v>0</v>
      </c>
      <c r="FI171" s="390">
        <v>0</v>
      </c>
      <c r="FJ171" s="391">
        <v>0</v>
      </c>
      <c r="FK171" s="391" t="s">
        <v>1386</v>
      </c>
      <c r="FL171" s="31" t="s">
        <v>1387</v>
      </c>
      <c r="FN171" s="128"/>
      <c r="FO171" s="128" t="s">
        <v>1714</v>
      </c>
      <c r="FP171" s="128"/>
    </row>
    <row r="172" spans="1:177" ht="22" customHeight="1" x14ac:dyDescent="0.2">
      <c r="A172" s="13" t="s">
        <v>7</v>
      </c>
      <c r="B172" s="21" t="s">
        <v>8</v>
      </c>
      <c r="C172" s="21"/>
      <c r="D172" s="21"/>
      <c r="E172" s="215" t="s">
        <v>1077</v>
      </c>
      <c r="F172" s="20" t="s">
        <v>1355</v>
      </c>
      <c r="G172" s="15" t="s">
        <v>635</v>
      </c>
      <c r="H172" s="91">
        <f t="shared" si="205"/>
        <v>0</v>
      </c>
      <c r="I172" s="95">
        <f t="shared" si="203"/>
        <v>0</v>
      </c>
      <c r="J172" s="93"/>
      <c r="K172" s="256">
        <f t="shared" si="137"/>
        <v>0</v>
      </c>
      <c r="L172" s="257">
        <v>0</v>
      </c>
      <c r="M172" s="257"/>
      <c r="N172" s="155">
        <v>0</v>
      </c>
      <c r="O172" s="158" t="str">
        <f t="shared" si="136"/>
        <v>N/A or not found_x000D__x000D_</v>
      </c>
      <c r="P172" s="98" t="str">
        <f>CONCATENATE(V172,R172,X172)</f>
        <v>N/A or not found_x000D__x000D_</v>
      </c>
      <c r="Q172" s="360" t="s">
        <v>925</v>
      </c>
      <c r="R172" s="64" t="s">
        <v>918</v>
      </c>
      <c r="S172" s="432"/>
      <c r="T172" s="319" t="s">
        <v>852</v>
      </c>
      <c r="U172" s="300" t="s">
        <v>1099</v>
      </c>
      <c r="V172" s="300" t="s">
        <v>925</v>
      </c>
      <c r="W172" s="258"/>
      <c r="X172" s="306" t="s">
        <v>834</v>
      </c>
      <c r="Y172" s="295"/>
      <c r="Z172" s="426" t="s">
        <v>224</v>
      </c>
      <c r="AA172" s="320">
        <f t="shared" si="182"/>
        <v>1</v>
      </c>
      <c r="AB172" s="320">
        <f t="shared" si="183"/>
        <v>0</v>
      </c>
      <c r="AC172" s="320">
        <f t="shared" si="184"/>
        <v>1</v>
      </c>
      <c r="AD172" s="320">
        <f t="shared" si="185"/>
        <v>0</v>
      </c>
      <c r="AE172" s="320">
        <f t="shared" si="186"/>
        <v>1</v>
      </c>
      <c r="AF172" s="320">
        <f t="shared" si="187"/>
        <v>0</v>
      </c>
      <c r="AG172" s="320">
        <f t="shared" si="188"/>
        <v>0</v>
      </c>
      <c r="AH172" s="427">
        <v>0</v>
      </c>
      <c r="AI172" s="320">
        <f t="shared" si="189"/>
        <v>0</v>
      </c>
      <c r="AJ172" s="320">
        <f t="shared" si="190"/>
        <v>0</v>
      </c>
      <c r="AK172" s="320">
        <f t="shared" si="191"/>
        <v>0</v>
      </c>
      <c r="AL172" s="320">
        <f t="shared" si="192"/>
        <v>0</v>
      </c>
      <c r="AM172" s="320">
        <f t="shared" si="193"/>
        <v>0</v>
      </c>
      <c r="AN172" s="320">
        <f t="shared" si="194"/>
        <v>0</v>
      </c>
      <c r="AO172" s="427">
        <v>0</v>
      </c>
      <c r="AP172" s="320">
        <f t="shared" si="173"/>
        <v>0</v>
      </c>
      <c r="AQ172" s="320">
        <f t="shared" si="148"/>
        <v>0</v>
      </c>
      <c r="AR172" s="320">
        <f t="shared" si="149"/>
        <v>0</v>
      </c>
      <c r="AS172" s="320">
        <f t="shared" si="150"/>
        <v>0</v>
      </c>
      <c r="AT172" s="320">
        <f t="shared" si="151"/>
        <v>0</v>
      </c>
      <c r="AU172" s="320">
        <f t="shared" si="152"/>
        <v>0</v>
      </c>
      <c r="AV172" s="427">
        <v>0</v>
      </c>
      <c r="AW172" s="320">
        <f t="shared" si="153"/>
        <v>0</v>
      </c>
      <c r="AX172" s="320">
        <f t="shared" si="154"/>
        <v>0</v>
      </c>
      <c r="AY172" s="320">
        <f t="shared" si="155"/>
        <v>0</v>
      </c>
      <c r="AZ172" s="320">
        <f t="shared" si="156"/>
        <v>0</v>
      </c>
      <c r="BA172" s="17">
        <v>1</v>
      </c>
      <c r="BB172" s="17" t="s">
        <v>1314</v>
      </c>
      <c r="BC172" s="17">
        <v>0</v>
      </c>
      <c r="BD172" s="17">
        <v>0</v>
      </c>
      <c r="BE172" s="17">
        <v>0</v>
      </c>
      <c r="BF172" s="17" t="s">
        <v>315</v>
      </c>
      <c r="BG172" s="428">
        <f t="shared" si="195"/>
        <v>1</v>
      </c>
      <c r="BH172" s="17">
        <v>1</v>
      </c>
      <c r="BI172" s="17">
        <v>1</v>
      </c>
      <c r="BJ172" s="17" t="s">
        <v>1317</v>
      </c>
      <c r="BK172" s="17">
        <v>1</v>
      </c>
      <c r="BL172" s="17">
        <v>1</v>
      </c>
      <c r="BM172" s="17" t="s">
        <v>1312</v>
      </c>
      <c r="BN172" s="320">
        <f t="shared" si="196"/>
        <v>1</v>
      </c>
      <c r="BO172" s="320">
        <f t="shared" si="197"/>
        <v>0</v>
      </c>
      <c r="BP172" s="427">
        <v>0</v>
      </c>
      <c r="BQ172" s="427" t="s">
        <v>1333</v>
      </c>
      <c r="BR172" s="320">
        <f t="shared" si="199"/>
        <v>0</v>
      </c>
      <c r="BS172" s="320">
        <f t="shared" si="199"/>
        <v>0</v>
      </c>
      <c r="BT172" s="427">
        <v>0</v>
      </c>
      <c r="BU172" s="320">
        <f t="shared" si="198"/>
        <v>0</v>
      </c>
      <c r="BV172" s="320">
        <f t="shared" si="158"/>
        <v>0</v>
      </c>
      <c r="BW172" s="320">
        <f t="shared" si="175"/>
        <v>0</v>
      </c>
      <c r="BX172" s="427">
        <v>1</v>
      </c>
      <c r="BY172" s="320">
        <f t="shared" si="133"/>
        <v>1</v>
      </c>
      <c r="BZ172" s="320">
        <f t="shared" si="159"/>
        <v>0</v>
      </c>
      <c r="CA172" s="320">
        <f t="shared" si="206"/>
        <v>0</v>
      </c>
      <c r="CB172" s="320">
        <f t="shared" si="134"/>
        <v>0</v>
      </c>
      <c r="CC172" s="427">
        <v>1</v>
      </c>
      <c r="CD172" s="320">
        <f t="shared" si="160"/>
        <v>1</v>
      </c>
      <c r="CE172" s="320">
        <f t="shared" si="161"/>
        <v>0</v>
      </c>
      <c r="CF172" s="320">
        <f t="shared" si="162"/>
        <v>0</v>
      </c>
      <c r="CG172" s="320">
        <f t="shared" si="163"/>
        <v>0</v>
      </c>
      <c r="CH172" s="427">
        <v>1</v>
      </c>
      <c r="CI172" s="427">
        <v>0</v>
      </c>
      <c r="CJ172" s="427">
        <v>0</v>
      </c>
      <c r="CK172" s="427">
        <v>0</v>
      </c>
      <c r="CL172" s="320">
        <f t="shared" si="178"/>
        <v>0</v>
      </c>
      <c r="CM172" s="320">
        <f t="shared" si="164"/>
        <v>0</v>
      </c>
      <c r="CN172" s="320">
        <f t="shared" si="165"/>
        <v>0</v>
      </c>
      <c r="CO172" s="320">
        <f t="shared" si="204"/>
        <v>0</v>
      </c>
      <c r="CP172" s="427">
        <v>1</v>
      </c>
      <c r="CQ172" s="427">
        <v>1</v>
      </c>
      <c r="CR172" s="320">
        <f t="shared" si="167"/>
        <v>1</v>
      </c>
      <c r="CS172" s="320">
        <f t="shared" si="176"/>
        <v>0</v>
      </c>
      <c r="CT172" s="320">
        <f t="shared" si="200"/>
        <v>0</v>
      </c>
      <c r="CU172" s="320">
        <f t="shared" si="201"/>
        <v>0</v>
      </c>
      <c r="CV172" s="427">
        <v>1</v>
      </c>
      <c r="CW172" s="17">
        <v>4</v>
      </c>
      <c r="CX172" s="320">
        <f t="shared" si="202"/>
        <v>0</v>
      </c>
      <c r="CY172" s="320">
        <f t="shared" si="168"/>
        <v>0</v>
      </c>
      <c r="CZ172" s="320">
        <f t="shared" si="169"/>
        <v>0</v>
      </c>
      <c r="DA172" s="17">
        <v>0</v>
      </c>
      <c r="DB172" s="17">
        <v>0</v>
      </c>
      <c r="DC172" s="17">
        <v>0</v>
      </c>
      <c r="DD172" s="31"/>
      <c r="DE172" s="352" t="s">
        <v>388</v>
      </c>
      <c r="DF172" s="352" t="s">
        <v>388</v>
      </c>
      <c r="DG172" s="352" t="s">
        <v>388</v>
      </c>
      <c r="DH172" s="352" t="s">
        <v>388</v>
      </c>
      <c r="DI172" s="346" t="s">
        <v>388</v>
      </c>
      <c r="DJ172" s="352" t="s">
        <v>388</v>
      </c>
      <c r="DK172" s="354" t="s">
        <v>1110</v>
      </c>
      <c r="DL172" s="352" t="s">
        <v>388</v>
      </c>
      <c r="DM172" s="352" t="s">
        <v>388</v>
      </c>
      <c r="DN172" s="352" t="s">
        <v>388</v>
      </c>
      <c r="DO172" s="352" t="s">
        <v>388</v>
      </c>
      <c r="DP172" s="353"/>
      <c r="DQ172" s="381" t="s">
        <v>387</v>
      </c>
      <c r="DR172" s="239">
        <f>SUM(DS172:DX172)/6</f>
        <v>0.27822061191626407</v>
      </c>
      <c r="DS172" s="429">
        <f t="shared" si="170"/>
        <v>0.13043478260869565</v>
      </c>
      <c r="DT172" s="429">
        <f>SUM(BA172:BE172,BG172)/5</f>
        <v>0.4</v>
      </c>
      <c r="DU172" s="429">
        <f>SUM(BI172,BO172,BS172,BU172:BW172)/6</f>
        <v>0.16666666666666666</v>
      </c>
      <c r="DV172" s="429">
        <f>SUM(BY172-CB172,CD172-CG172)/8</f>
        <v>0.25</v>
      </c>
      <c r="DW172" s="429">
        <f>SUM(CH172:CJ172,CL172:CO172,BN172,BR172)/9</f>
        <v>0.22222222222222221</v>
      </c>
      <c r="DX172" s="429">
        <f>SUM(CP172,CR172:CV172)/6</f>
        <v>0.5</v>
      </c>
      <c r="DY172" s="491"/>
      <c r="DZ172" s="203"/>
      <c r="EA172" s="203"/>
      <c r="EB172" s="203"/>
      <c r="EC172" s="203"/>
      <c r="ED172" s="204"/>
      <c r="EH172" s="46">
        <v>0</v>
      </c>
      <c r="EI172" s="45"/>
      <c r="EJ172" s="33" t="b">
        <f t="shared" si="171"/>
        <v>0</v>
      </c>
      <c r="EK172" s="42"/>
      <c r="EL172" s="42"/>
      <c r="EM172" s="42"/>
      <c r="EN172" s="439"/>
      <c r="EO172" s="439"/>
      <c r="EP172" s="439"/>
      <c r="EQ172" s="47"/>
      <c r="ER172" s="440">
        <v>1</v>
      </c>
      <c r="ES172" s="431"/>
      <c r="ET172" s="431" t="s">
        <v>249</v>
      </c>
      <c r="EU172" s="431"/>
      <c r="EV172" s="447"/>
      <c r="EZ172" s="393" t="s">
        <v>1077</v>
      </c>
      <c r="FA172" s="393" t="s">
        <v>1077</v>
      </c>
      <c r="FB172" s="389">
        <v>13809.49</v>
      </c>
      <c r="FC172" s="389">
        <v>16976.939999999999</v>
      </c>
      <c r="FD172" s="389">
        <v>17282.09</v>
      </c>
      <c r="FE172" s="389">
        <v>18247.2</v>
      </c>
      <c r="FF172" s="389">
        <v>18417.87</v>
      </c>
      <c r="FG172" s="390">
        <v>3.5948763440290356E-3</v>
      </c>
      <c r="FH172" s="390">
        <v>1.1168903761061314E-2</v>
      </c>
      <c r="FI172" s="390">
        <v>1.8706431671708344E-3</v>
      </c>
      <c r="FJ172" s="391" t="s">
        <v>1389</v>
      </c>
      <c r="FK172" s="391">
        <v>-0.83251327013018528</v>
      </c>
      <c r="FL172" s="31" t="s">
        <v>1394</v>
      </c>
      <c r="FN172" s="365" t="s">
        <v>1715</v>
      </c>
      <c r="FO172" s="365" t="s">
        <v>1716</v>
      </c>
      <c r="FP172" s="365" t="s">
        <v>1346</v>
      </c>
      <c r="FR172" s="402">
        <v>1</v>
      </c>
      <c r="FS172" s="402">
        <v>1</v>
      </c>
      <c r="FT172" s="402">
        <v>1</v>
      </c>
      <c r="FU172" s="402">
        <v>1</v>
      </c>
    </row>
    <row r="173" spans="1:177" ht="22" hidden="1" customHeight="1" x14ac:dyDescent="0.2">
      <c r="A173" s="13" t="s">
        <v>4</v>
      </c>
      <c r="B173" s="14" t="s">
        <v>5</v>
      </c>
      <c r="C173" s="363" t="s">
        <v>1053</v>
      </c>
      <c r="D173" s="236" t="s">
        <v>1068</v>
      </c>
      <c r="E173" s="127" t="s">
        <v>190</v>
      </c>
      <c r="F173" s="15" t="s">
        <v>638</v>
      </c>
      <c r="G173" s="24" t="s">
        <v>634</v>
      </c>
      <c r="H173" s="91">
        <f t="shared" si="205"/>
        <v>1</v>
      </c>
      <c r="I173" s="95">
        <f t="shared" si="203"/>
        <v>0</v>
      </c>
      <c r="J173" s="92">
        <v>2</v>
      </c>
      <c r="K173" s="256">
        <f t="shared" si="137"/>
        <v>3</v>
      </c>
      <c r="L173" s="101">
        <v>0</v>
      </c>
      <c r="M173" s="99"/>
      <c r="N173" s="89"/>
      <c r="O173" s="98" t="str">
        <f t="shared" si="136"/>
        <v>Forest cover increase from 29 to 32% by 2030 _x000D__x000D_10% emission reduction in forest sector</v>
      </c>
      <c r="P173" s="144" t="str">
        <f>CONCATENATE(V173,R173,X173)</f>
        <v xml:space="preserve">1. Increase forest cover of Sri Lanka from 29% to 32% by 2030. _x000D_2. Improvement of the quality of growing stock of Natural Forests and Forest plantations. _x000D_3. Restoration of degraded forests and hilltops (shrubs, grasslands and state lands)_x000D_ 4. Increase river basin management for major rivers of Sri Lanka._x000D_ 5. Forestation of underutilized private lands and marginal Tea lands._x000D__x000D_Major broader adaptation targets identified such as: _x000D_1. Mainstreaming climate change adaptation into national planning and development. _x000D_2. Enabling climate resilient and healthy human settlements. _x000D_3. Minimizing climate change impacts on food security. _x000D_4. Improving climate resilience of key economic drives. _x000D_5. Safeguarding natural resources and biodiversity from climate change impacts. _x000D__x000D__x000D_Sri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change._x000D__x000D_Biodiversity Sector INDCs:_x000D_1. Restoration of degraded areas inside and outside the protected area network to enhance resilience. _x000D_2. Increasing connectivity through corridors, landscape/matrix improvement and management._x000D_3. Improve management, and consider increasing the extent of protected areas, buffer zones and create new areas in vulnerable zones. _x000D_4. Identify biodiversity hotpots in Sri Lanka and upgrade them. the Dry Zone_x000D_5. Promotion of traditional methods of biodiversity conservation for increased resilience in ago ecosystems._x000D_6. Implementation of  community driven conservation projects and programmes </v>
      </c>
      <c r="Q173" s="55" t="s">
        <v>521</v>
      </c>
      <c r="R173" s="64" t="s">
        <v>918</v>
      </c>
      <c r="S173" s="446" t="s">
        <v>509</v>
      </c>
      <c r="T173" s="300" t="s">
        <v>925</v>
      </c>
      <c r="U173" s="300" t="s">
        <v>925</v>
      </c>
      <c r="V173" s="300" t="s">
        <v>935</v>
      </c>
      <c r="W173" s="258" t="s">
        <v>494</v>
      </c>
      <c r="X173" s="308" t="s">
        <v>1017</v>
      </c>
      <c r="Y173" s="297"/>
      <c r="Z173" s="426">
        <v>1</v>
      </c>
      <c r="AA173" s="320">
        <f t="shared" si="182"/>
        <v>1</v>
      </c>
      <c r="AB173" s="320">
        <f t="shared" si="183"/>
        <v>0</v>
      </c>
      <c r="AC173" s="320">
        <f t="shared" si="184"/>
        <v>0</v>
      </c>
      <c r="AD173" s="320">
        <f t="shared" si="185"/>
        <v>0</v>
      </c>
      <c r="AE173" s="320">
        <f t="shared" si="186"/>
        <v>0</v>
      </c>
      <c r="AF173" s="320">
        <f t="shared" si="187"/>
        <v>0</v>
      </c>
      <c r="AG173" s="320">
        <f t="shared" si="188"/>
        <v>0</v>
      </c>
      <c r="AH173" s="427">
        <v>1</v>
      </c>
      <c r="AI173" s="320">
        <f t="shared" si="189"/>
        <v>1</v>
      </c>
      <c r="AJ173" s="320">
        <f t="shared" si="190"/>
        <v>0</v>
      </c>
      <c r="AK173" s="320">
        <f t="shared" si="191"/>
        <v>0</v>
      </c>
      <c r="AL173" s="320">
        <f t="shared" si="192"/>
        <v>0</v>
      </c>
      <c r="AM173" s="320">
        <f t="shared" si="193"/>
        <v>0</v>
      </c>
      <c r="AN173" s="320">
        <f t="shared" si="194"/>
        <v>0</v>
      </c>
      <c r="AO173" s="427">
        <v>0</v>
      </c>
      <c r="AP173" s="320">
        <f t="shared" si="173"/>
        <v>0</v>
      </c>
      <c r="AQ173" s="320">
        <f t="shared" si="148"/>
        <v>0</v>
      </c>
      <c r="AR173" s="320">
        <f t="shared" si="149"/>
        <v>0</v>
      </c>
      <c r="AS173" s="320">
        <f t="shared" si="150"/>
        <v>0</v>
      </c>
      <c r="AT173" s="320">
        <f t="shared" si="151"/>
        <v>0</v>
      </c>
      <c r="AU173" s="320">
        <f t="shared" si="152"/>
        <v>0</v>
      </c>
      <c r="AV173" s="427">
        <v>0</v>
      </c>
      <c r="AW173" s="320">
        <f t="shared" si="153"/>
        <v>0</v>
      </c>
      <c r="AX173" s="320">
        <f t="shared" si="154"/>
        <v>0</v>
      </c>
      <c r="AY173" s="320">
        <f t="shared" si="155"/>
        <v>0</v>
      </c>
      <c r="AZ173" s="320">
        <f t="shared" si="156"/>
        <v>0</v>
      </c>
      <c r="BA173" s="17">
        <v>0</v>
      </c>
      <c r="BB173" s="17" t="s">
        <v>1283</v>
      </c>
      <c r="BC173" s="17">
        <v>0</v>
      </c>
      <c r="BD173" s="17">
        <v>0</v>
      </c>
      <c r="BE173" s="17">
        <v>0</v>
      </c>
      <c r="BF173" s="17">
        <v>0</v>
      </c>
      <c r="BG173" s="428">
        <f t="shared" si="195"/>
        <v>0</v>
      </c>
      <c r="BH173" s="17">
        <v>1</v>
      </c>
      <c r="BI173" s="17">
        <v>0</v>
      </c>
      <c r="BJ173" s="17" t="s">
        <v>1241</v>
      </c>
      <c r="BK173" s="17"/>
      <c r="BL173" s="17">
        <v>0</v>
      </c>
      <c r="BM173" s="17">
        <v>0</v>
      </c>
      <c r="BN173" s="320">
        <f t="shared" si="196"/>
        <v>0</v>
      </c>
      <c r="BO173" s="320">
        <f t="shared" si="197"/>
        <v>0</v>
      </c>
      <c r="BP173" s="427">
        <v>0</v>
      </c>
      <c r="BQ173" s="427" t="s">
        <v>1242</v>
      </c>
      <c r="BR173" s="320">
        <f t="shared" si="199"/>
        <v>0</v>
      </c>
      <c r="BS173" s="320">
        <f>IF(ISNUMBER(SEARCH("t",$BP173)),1,0)</f>
        <v>0</v>
      </c>
      <c r="BT173" s="427">
        <v>1</v>
      </c>
      <c r="BU173" s="320">
        <f t="shared" si="198"/>
        <v>1</v>
      </c>
      <c r="BV173" s="320">
        <f t="shared" si="158"/>
        <v>0</v>
      </c>
      <c r="BW173" s="320">
        <f t="shared" si="175"/>
        <v>0</v>
      </c>
      <c r="BX173" s="427" t="s">
        <v>362</v>
      </c>
      <c r="BY173" s="320">
        <f t="shared" si="133"/>
        <v>1</v>
      </c>
      <c r="BZ173" s="320">
        <f t="shared" si="159"/>
        <v>0</v>
      </c>
      <c r="CA173" s="320">
        <f t="shared" si="206"/>
        <v>1</v>
      </c>
      <c r="CB173" s="320">
        <f t="shared" si="134"/>
        <v>0</v>
      </c>
      <c r="CC173" s="427">
        <v>0</v>
      </c>
      <c r="CD173" s="320">
        <f t="shared" si="160"/>
        <v>0</v>
      </c>
      <c r="CE173" s="320">
        <f t="shared" si="161"/>
        <v>0</v>
      </c>
      <c r="CF173" s="320">
        <f t="shared" si="162"/>
        <v>0</v>
      </c>
      <c r="CG173" s="320">
        <f t="shared" si="163"/>
        <v>0</v>
      </c>
      <c r="CH173" s="427">
        <v>1</v>
      </c>
      <c r="CI173" s="427">
        <v>0</v>
      </c>
      <c r="CJ173" s="427">
        <v>0</v>
      </c>
      <c r="CK173" s="427">
        <v>0</v>
      </c>
      <c r="CL173" s="320">
        <f t="shared" si="178"/>
        <v>0</v>
      </c>
      <c r="CM173" s="320">
        <f t="shared" si="164"/>
        <v>0</v>
      </c>
      <c r="CN173" s="320">
        <f t="shared" si="165"/>
        <v>0</v>
      </c>
      <c r="CO173" s="320">
        <f t="shared" si="204"/>
        <v>0</v>
      </c>
      <c r="CP173" s="427">
        <v>0</v>
      </c>
      <c r="CQ173" s="427" t="s">
        <v>317</v>
      </c>
      <c r="CR173" s="320">
        <f t="shared" si="167"/>
        <v>1</v>
      </c>
      <c r="CS173" s="320">
        <f t="shared" si="176"/>
        <v>0</v>
      </c>
      <c r="CT173" s="320">
        <f t="shared" si="200"/>
        <v>1</v>
      </c>
      <c r="CU173" s="320">
        <f t="shared" si="201"/>
        <v>0</v>
      </c>
      <c r="CV173" s="427">
        <v>0</v>
      </c>
      <c r="CW173" s="17">
        <v>0</v>
      </c>
      <c r="CX173" s="320">
        <f t="shared" si="202"/>
        <v>0</v>
      </c>
      <c r="CY173" s="320">
        <f t="shared" si="168"/>
        <v>0</v>
      </c>
      <c r="CZ173" s="320">
        <f t="shared" si="169"/>
        <v>0</v>
      </c>
      <c r="DA173" s="17">
        <v>1</v>
      </c>
      <c r="DB173" s="17">
        <v>1</v>
      </c>
      <c r="DC173" s="17">
        <v>1</v>
      </c>
      <c r="DD173" s="31"/>
      <c r="DE173" s="323" t="s">
        <v>392</v>
      </c>
      <c r="DF173" s="323"/>
      <c r="DG173" s="323"/>
      <c r="DH173" s="323"/>
      <c r="DI173" s="323"/>
      <c r="DJ173" s="323"/>
      <c r="DK173" s="323"/>
      <c r="DL173" s="323"/>
      <c r="DM173" s="323"/>
      <c r="DN173" s="323"/>
      <c r="DO173" s="323"/>
      <c r="DP173" s="336" t="s">
        <v>494</v>
      </c>
      <c r="DQ173" s="294"/>
      <c r="DR173" s="240">
        <f>SUM(DS173:DX173)/6</f>
        <v>0.13717793880837359</v>
      </c>
      <c r="DS173" s="429">
        <f t="shared" si="170"/>
        <v>8.6956521739130432E-2</v>
      </c>
      <c r="DT173" s="429">
        <f>SUM(BA173:BE173,BG173)/5</f>
        <v>0</v>
      </c>
      <c r="DU173" s="429">
        <f>SUM(BI173,BO173,BS173,BU173:BW173)/6</f>
        <v>0.16666666666666666</v>
      </c>
      <c r="DV173" s="429">
        <f>SUM(BY173-CB173,CD173-CG173)/8</f>
        <v>0.125</v>
      </c>
      <c r="DW173" s="429">
        <f>SUM(CH173:CJ173,CL173:CO173,BN173,BR173)/9</f>
        <v>0.1111111111111111</v>
      </c>
      <c r="DX173" s="429">
        <f>SUM(CP173,CR173:CV173)/6</f>
        <v>0.33333333333333331</v>
      </c>
      <c r="DY173" s="444"/>
      <c r="DZ173" s="137"/>
      <c r="EA173" s="135"/>
      <c r="EB173" s="135"/>
      <c r="EC173" s="135"/>
      <c r="ED173" s="124"/>
      <c r="EH173" s="46"/>
      <c r="EI173" s="45"/>
      <c r="EJ173" s="33" t="b">
        <f t="shared" si="171"/>
        <v>0</v>
      </c>
      <c r="EK173" s="42"/>
      <c r="EL173" s="42"/>
      <c r="EM173" s="42"/>
      <c r="EN173" s="439"/>
      <c r="EO173" s="439"/>
      <c r="EP173" s="439"/>
      <c r="EQ173" s="47"/>
      <c r="ER173" s="440">
        <v>1</v>
      </c>
      <c r="ES173" s="431"/>
      <c r="ET173" s="431"/>
      <c r="EU173" s="431"/>
      <c r="EV173" s="447"/>
      <c r="EZ173" s="393" t="s">
        <v>190</v>
      </c>
      <c r="FA173" s="393" t="s">
        <v>190</v>
      </c>
      <c r="FB173" s="389">
        <v>2284</v>
      </c>
      <c r="FC173" s="389">
        <v>2192</v>
      </c>
      <c r="FD173" s="389">
        <v>2118</v>
      </c>
      <c r="FE173" s="389">
        <v>2103</v>
      </c>
      <c r="FF173" s="389">
        <v>2070</v>
      </c>
      <c r="FG173" s="390">
        <v>-6.7518248175182484E-3</v>
      </c>
      <c r="FH173" s="390">
        <v>-1.4164305949008499E-3</v>
      </c>
      <c r="FI173" s="390">
        <v>-3.1383737517831668E-3</v>
      </c>
      <c r="FJ173" s="391">
        <v>1.2156918687589158</v>
      </c>
      <c r="FK173" s="391" t="s">
        <v>1386</v>
      </c>
      <c r="FL173" s="31" t="s">
        <v>1379</v>
      </c>
      <c r="FN173" s="127" t="s">
        <v>1717</v>
      </c>
      <c r="FO173" s="127" t="s">
        <v>1718</v>
      </c>
      <c r="FP173" s="127"/>
    </row>
    <row r="174" spans="1:177" ht="22" customHeight="1" x14ac:dyDescent="0.2">
      <c r="A174" s="13" t="s">
        <v>4</v>
      </c>
      <c r="B174" s="14" t="s">
        <v>21</v>
      </c>
      <c r="C174" s="14"/>
      <c r="D174" s="14"/>
      <c r="E174" s="128" t="s">
        <v>1352</v>
      </c>
      <c r="F174" s="15" t="s">
        <v>1357</v>
      </c>
      <c r="G174" s="15" t="s">
        <v>634</v>
      </c>
      <c r="H174" s="91">
        <f t="shared" si="205"/>
        <v>1</v>
      </c>
      <c r="I174" s="95">
        <f t="shared" si="203"/>
        <v>0</v>
      </c>
      <c r="J174" s="91"/>
      <c r="K174" s="256">
        <f t="shared" si="137"/>
        <v>1</v>
      </c>
      <c r="L174" s="101">
        <v>0</v>
      </c>
      <c r="M174" s="99"/>
      <c r="N174" s="89"/>
      <c r="O174" s="98" t="str">
        <f t="shared" si="136"/>
        <v>N/A or not foundN/A_x000D__x000D_N/A</v>
      </c>
      <c r="P174" s="98"/>
      <c r="Q174" s="360" t="s">
        <v>925</v>
      </c>
      <c r="R174" s="64" t="s">
        <v>1367</v>
      </c>
      <c r="S174" s="437" t="s">
        <v>388</v>
      </c>
      <c r="T174" s="300" t="s">
        <v>925</v>
      </c>
      <c r="U174" s="300" t="s">
        <v>925</v>
      </c>
      <c r="V174" s="300" t="s">
        <v>925</v>
      </c>
      <c r="W174" s="258"/>
      <c r="X174" s="307" t="s">
        <v>834</v>
      </c>
      <c r="Y174" s="274"/>
      <c r="Z174" s="426">
        <v>1.2</v>
      </c>
      <c r="AA174" s="320">
        <f t="shared" si="182"/>
        <v>1</v>
      </c>
      <c r="AB174" s="320">
        <f t="shared" si="183"/>
        <v>0</v>
      </c>
      <c r="AC174" s="320">
        <f t="shared" si="184"/>
        <v>1</v>
      </c>
      <c r="AD174" s="320">
        <f t="shared" si="185"/>
        <v>0</v>
      </c>
      <c r="AE174" s="320">
        <f t="shared" si="186"/>
        <v>0</v>
      </c>
      <c r="AF174" s="320">
        <f t="shared" si="187"/>
        <v>0</v>
      </c>
      <c r="AG174" s="320">
        <f t="shared" si="188"/>
        <v>0</v>
      </c>
      <c r="AH174" s="427">
        <v>0</v>
      </c>
      <c r="AI174" s="320">
        <f t="shared" si="189"/>
        <v>0</v>
      </c>
      <c r="AJ174" s="320">
        <f t="shared" si="190"/>
        <v>0</v>
      </c>
      <c r="AK174" s="320">
        <f t="shared" si="191"/>
        <v>0</v>
      </c>
      <c r="AL174" s="320">
        <f t="shared" si="192"/>
        <v>0</v>
      </c>
      <c r="AM174" s="320">
        <f t="shared" si="193"/>
        <v>0</v>
      </c>
      <c r="AN174" s="320">
        <f t="shared" si="194"/>
        <v>0</v>
      </c>
      <c r="AO174" s="427">
        <v>0</v>
      </c>
      <c r="AP174" s="320">
        <f t="shared" si="173"/>
        <v>0</v>
      </c>
      <c r="AQ174" s="320">
        <f t="shared" si="148"/>
        <v>0</v>
      </c>
      <c r="AR174" s="320">
        <f t="shared" si="149"/>
        <v>0</v>
      </c>
      <c r="AS174" s="320">
        <f t="shared" si="150"/>
        <v>0</v>
      </c>
      <c r="AT174" s="320">
        <f t="shared" si="151"/>
        <v>0</v>
      </c>
      <c r="AU174" s="320">
        <f t="shared" si="152"/>
        <v>0</v>
      </c>
      <c r="AV174" s="427">
        <v>0</v>
      </c>
      <c r="AW174" s="320">
        <f t="shared" si="153"/>
        <v>0</v>
      </c>
      <c r="AX174" s="320">
        <f t="shared" si="154"/>
        <v>0</v>
      </c>
      <c r="AY174" s="320">
        <f t="shared" si="155"/>
        <v>0</v>
      </c>
      <c r="AZ174" s="320">
        <f t="shared" si="156"/>
        <v>0</v>
      </c>
      <c r="BA174" s="17">
        <v>0</v>
      </c>
      <c r="BB174" s="17">
        <v>0</v>
      </c>
      <c r="BC174" s="17">
        <v>0</v>
      </c>
      <c r="BD174" s="17">
        <v>0</v>
      </c>
      <c r="BE174" s="17">
        <v>0</v>
      </c>
      <c r="BF174" s="17">
        <v>0</v>
      </c>
      <c r="BG174" s="428">
        <f t="shared" si="195"/>
        <v>0</v>
      </c>
      <c r="BH174" s="17">
        <v>0</v>
      </c>
      <c r="BI174" s="17">
        <v>0</v>
      </c>
      <c r="BJ174" s="17">
        <v>0</v>
      </c>
      <c r="BK174" s="17">
        <v>0</v>
      </c>
      <c r="BL174" s="17">
        <v>0</v>
      </c>
      <c r="BM174" s="17">
        <v>0</v>
      </c>
      <c r="BN174" s="320">
        <f t="shared" si="196"/>
        <v>0</v>
      </c>
      <c r="BO174" s="320">
        <f t="shared" si="197"/>
        <v>0</v>
      </c>
      <c r="BP174" s="427">
        <v>0</v>
      </c>
      <c r="BQ174" s="427">
        <v>0</v>
      </c>
      <c r="BR174" s="320">
        <f t="shared" si="199"/>
        <v>0</v>
      </c>
      <c r="BS174" s="320">
        <f t="shared" si="199"/>
        <v>0</v>
      </c>
      <c r="BT174" s="427">
        <v>0</v>
      </c>
      <c r="BU174" s="320">
        <f t="shared" si="198"/>
        <v>0</v>
      </c>
      <c r="BV174" s="320">
        <f t="shared" si="158"/>
        <v>0</v>
      </c>
      <c r="BW174" s="320">
        <f t="shared" si="175"/>
        <v>0</v>
      </c>
      <c r="BX174" s="427" t="s">
        <v>362</v>
      </c>
      <c r="BY174" s="320">
        <f t="shared" si="133"/>
        <v>1</v>
      </c>
      <c r="BZ174" s="320">
        <f t="shared" si="159"/>
        <v>0</v>
      </c>
      <c r="CA174" s="320">
        <f t="shared" si="206"/>
        <v>1</v>
      </c>
      <c r="CB174" s="320">
        <f t="shared" si="134"/>
        <v>0</v>
      </c>
      <c r="CC174" s="427">
        <v>0</v>
      </c>
      <c r="CD174" s="320">
        <f t="shared" si="160"/>
        <v>0</v>
      </c>
      <c r="CE174" s="320">
        <f t="shared" si="161"/>
        <v>0</v>
      </c>
      <c r="CF174" s="320">
        <f t="shared" si="162"/>
        <v>0</v>
      </c>
      <c r="CG174" s="320">
        <f t="shared" si="163"/>
        <v>0</v>
      </c>
      <c r="CH174" s="427">
        <v>0</v>
      </c>
      <c r="CI174" s="427">
        <v>0</v>
      </c>
      <c r="CJ174" s="427">
        <v>0</v>
      </c>
      <c r="CK174" s="427">
        <v>0</v>
      </c>
      <c r="CL174" s="320">
        <f t="shared" si="178"/>
        <v>0</v>
      </c>
      <c r="CM174" s="320">
        <f t="shared" si="164"/>
        <v>0</v>
      </c>
      <c r="CN174" s="320">
        <f t="shared" si="165"/>
        <v>0</v>
      </c>
      <c r="CO174" s="320">
        <f t="shared" si="204"/>
        <v>0</v>
      </c>
      <c r="CP174" s="427">
        <v>0</v>
      </c>
      <c r="CQ174" s="427">
        <v>0</v>
      </c>
      <c r="CR174" s="320">
        <f t="shared" si="167"/>
        <v>0</v>
      </c>
      <c r="CS174" s="320">
        <f t="shared" si="176"/>
        <v>0</v>
      </c>
      <c r="CT174" s="320">
        <f t="shared" si="200"/>
        <v>0</v>
      </c>
      <c r="CU174" s="320">
        <f t="shared" si="201"/>
        <v>0</v>
      </c>
      <c r="CV174" s="427">
        <v>1</v>
      </c>
      <c r="CW174" s="17">
        <v>1</v>
      </c>
      <c r="CX174" s="320">
        <f t="shared" si="202"/>
        <v>1</v>
      </c>
      <c r="CY174" s="320">
        <f t="shared" si="168"/>
        <v>0</v>
      </c>
      <c r="CZ174" s="320">
        <f t="shared" si="169"/>
        <v>0</v>
      </c>
      <c r="DA174" s="17">
        <v>0</v>
      </c>
      <c r="DB174" s="17">
        <v>1</v>
      </c>
      <c r="DC174" s="17">
        <v>0</v>
      </c>
      <c r="DD174" s="31"/>
      <c r="DE174" s="346" t="s">
        <v>388</v>
      </c>
      <c r="DF174" s="346" t="s">
        <v>388</v>
      </c>
      <c r="DG174" s="346" t="s">
        <v>388</v>
      </c>
      <c r="DH174" s="346" t="s">
        <v>388</v>
      </c>
      <c r="DI174" s="346" t="s">
        <v>388</v>
      </c>
      <c r="DJ174" s="346" t="s">
        <v>388</v>
      </c>
      <c r="DK174" s="346" t="s">
        <v>388</v>
      </c>
      <c r="DL174" s="346" t="s">
        <v>388</v>
      </c>
      <c r="DM174" s="346" t="s">
        <v>388</v>
      </c>
      <c r="DN174" s="346" t="s">
        <v>388</v>
      </c>
      <c r="DO174" s="346" t="s">
        <v>388</v>
      </c>
      <c r="DP174" s="348"/>
      <c r="DQ174" s="384" t="s">
        <v>388</v>
      </c>
      <c r="DR174" s="241"/>
      <c r="DS174" s="429">
        <f t="shared" si="170"/>
        <v>8.6956521739130432E-2</v>
      </c>
      <c r="DT174" s="429"/>
      <c r="DU174" s="429"/>
      <c r="DV174" s="429"/>
      <c r="DW174" s="429"/>
      <c r="DX174" s="429"/>
      <c r="DY174" s="429"/>
      <c r="DZ174" s="134"/>
      <c r="EA174" s="134"/>
      <c r="EB174" s="134"/>
      <c r="EC174" s="134"/>
      <c r="ED174" s="123"/>
      <c r="EH174" s="44">
        <v>0</v>
      </c>
      <c r="EI174" s="45"/>
      <c r="EJ174" s="33" t="b">
        <f t="shared" si="171"/>
        <v>0</v>
      </c>
      <c r="EK174" s="42"/>
      <c r="EL174" s="42"/>
      <c r="EM174" s="42"/>
      <c r="EN174" s="439"/>
      <c r="EO174" s="439"/>
      <c r="EP174" s="439"/>
      <c r="EQ174" s="38"/>
      <c r="ER174" s="431">
        <v>1</v>
      </c>
      <c r="ES174" s="435"/>
      <c r="ET174" s="431"/>
      <c r="EU174" s="435"/>
      <c r="EV174" s="435"/>
      <c r="EZ174" s="393" t="s">
        <v>1352</v>
      </c>
      <c r="FA174" s="393" t="s">
        <v>1352</v>
      </c>
      <c r="FB174" s="389">
        <v>0</v>
      </c>
      <c r="FC174" s="389">
        <v>0</v>
      </c>
      <c r="FD174" s="389">
        <v>0</v>
      </c>
      <c r="FE174" s="389">
        <v>0</v>
      </c>
      <c r="FF174" s="389">
        <v>0</v>
      </c>
      <c r="FG174" s="390" t="s">
        <v>1375</v>
      </c>
      <c r="FH174" s="390" t="s">
        <v>1375</v>
      </c>
      <c r="FI174" s="390" t="s">
        <v>1375</v>
      </c>
      <c r="FJ174" s="391" t="s">
        <v>1389</v>
      </c>
      <c r="FK174" s="391" t="e">
        <v>#VALUE!</v>
      </c>
      <c r="FL174" s="31" t="s">
        <v>1375</v>
      </c>
      <c r="FN174" s="128"/>
      <c r="FO174" s="128" t="s">
        <v>1719</v>
      </c>
      <c r="FP174" s="128" t="s">
        <v>1348</v>
      </c>
      <c r="FR174" s="402">
        <v>1</v>
      </c>
      <c r="FS174" s="402">
        <v>0</v>
      </c>
      <c r="FT174" s="402">
        <v>1</v>
      </c>
      <c r="FU174" s="402">
        <v>0</v>
      </c>
    </row>
    <row r="175" spans="1:177" ht="22" customHeight="1" x14ac:dyDescent="0.2">
      <c r="A175" s="13" t="s">
        <v>10</v>
      </c>
      <c r="B175" s="14" t="s">
        <v>11</v>
      </c>
      <c r="C175" s="9" t="s">
        <v>1054</v>
      </c>
      <c r="D175" s="14"/>
      <c r="E175" s="128" t="s">
        <v>1353</v>
      </c>
      <c r="F175" s="15" t="s">
        <v>1359</v>
      </c>
      <c r="G175" s="15" t="s">
        <v>635</v>
      </c>
      <c r="H175" s="91">
        <f t="shared" si="205"/>
        <v>0</v>
      </c>
      <c r="I175" s="95">
        <f t="shared" si="203"/>
        <v>0</v>
      </c>
      <c r="J175" s="91"/>
      <c r="K175" s="256">
        <f t="shared" si="137"/>
        <v>0</v>
      </c>
      <c r="L175" s="101">
        <v>0</v>
      </c>
      <c r="M175" s="99"/>
      <c r="N175" s="89"/>
      <c r="O175" s="98" t="str">
        <f t="shared" si="136"/>
        <v>N/A or not found_x000D__x000D_</v>
      </c>
      <c r="P175" s="98" t="str">
        <f>CONCATENATE(V175,R175,X175)</f>
        <v>N/A or not found_x000D__x000D_</v>
      </c>
      <c r="Q175" s="360" t="s">
        <v>925</v>
      </c>
      <c r="R175" s="64" t="s">
        <v>918</v>
      </c>
      <c r="S175" s="425"/>
      <c r="T175" s="300" t="s">
        <v>1824</v>
      </c>
      <c r="U175" s="300" t="s">
        <v>925</v>
      </c>
      <c r="V175" s="309" t="s">
        <v>925</v>
      </c>
      <c r="W175" s="258"/>
      <c r="X175" s="307" t="s">
        <v>834</v>
      </c>
      <c r="Y175" s="274"/>
      <c r="Z175" s="426">
        <v>1.2</v>
      </c>
      <c r="AA175" s="320">
        <f t="shared" si="182"/>
        <v>1</v>
      </c>
      <c r="AB175" s="320">
        <f t="shared" si="183"/>
        <v>0</v>
      </c>
      <c r="AC175" s="320">
        <f t="shared" si="184"/>
        <v>1</v>
      </c>
      <c r="AD175" s="320">
        <f t="shared" si="185"/>
        <v>0</v>
      </c>
      <c r="AE175" s="320">
        <f t="shared" si="186"/>
        <v>0</v>
      </c>
      <c r="AF175" s="320">
        <f t="shared" si="187"/>
        <v>0</v>
      </c>
      <c r="AG175" s="320">
        <f t="shared" si="188"/>
        <v>0</v>
      </c>
      <c r="AH175" s="427">
        <v>0</v>
      </c>
      <c r="AI175" s="320">
        <f t="shared" si="189"/>
        <v>0</v>
      </c>
      <c r="AJ175" s="320">
        <f t="shared" si="190"/>
        <v>0</v>
      </c>
      <c r="AK175" s="320">
        <f t="shared" si="191"/>
        <v>0</v>
      </c>
      <c r="AL175" s="320">
        <f t="shared" si="192"/>
        <v>0</v>
      </c>
      <c r="AM175" s="320">
        <f t="shared" si="193"/>
        <v>0</v>
      </c>
      <c r="AN175" s="320">
        <f t="shared" si="194"/>
        <v>0</v>
      </c>
      <c r="AO175" s="427">
        <v>0</v>
      </c>
      <c r="AP175" s="320">
        <f t="shared" si="173"/>
        <v>0</v>
      </c>
      <c r="AQ175" s="320">
        <f t="shared" si="148"/>
        <v>0</v>
      </c>
      <c r="AR175" s="320">
        <f t="shared" si="149"/>
        <v>0</v>
      </c>
      <c r="AS175" s="320">
        <f t="shared" si="150"/>
        <v>0</v>
      </c>
      <c r="AT175" s="320">
        <f t="shared" si="151"/>
        <v>0</v>
      </c>
      <c r="AU175" s="320">
        <f t="shared" si="152"/>
        <v>0</v>
      </c>
      <c r="AV175" s="427">
        <v>0</v>
      </c>
      <c r="AW175" s="320">
        <f t="shared" si="153"/>
        <v>0</v>
      </c>
      <c r="AX175" s="320">
        <f t="shared" si="154"/>
        <v>0</v>
      </c>
      <c r="AY175" s="320">
        <f t="shared" si="155"/>
        <v>0</v>
      </c>
      <c r="AZ175" s="320">
        <f t="shared" si="156"/>
        <v>0</v>
      </c>
      <c r="BA175" s="17">
        <v>1</v>
      </c>
      <c r="BB175" s="17" t="s">
        <v>1315</v>
      </c>
      <c r="BC175" s="17">
        <v>1</v>
      </c>
      <c r="BD175" s="17">
        <v>1</v>
      </c>
      <c r="BE175" s="17">
        <v>0</v>
      </c>
      <c r="BF175" s="17">
        <v>0</v>
      </c>
      <c r="BG175" s="428">
        <f t="shared" si="195"/>
        <v>0</v>
      </c>
      <c r="BH175" s="17">
        <v>0</v>
      </c>
      <c r="BI175" s="17">
        <v>1</v>
      </c>
      <c r="BJ175" s="17" t="s">
        <v>1316</v>
      </c>
      <c r="BK175" s="17">
        <v>1</v>
      </c>
      <c r="BL175" s="17">
        <v>0</v>
      </c>
      <c r="BM175" s="17">
        <v>0</v>
      </c>
      <c r="BN175" s="320">
        <f t="shared" si="196"/>
        <v>0</v>
      </c>
      <c r="BO175" s="320">
        <f t="shared" si="197"/>
        <v>0</v>
      </c>
      <c r="BP175" s="427">
        <v>0</v>
      </c>
      <c r="BQ175" s="427">
        <v>0</v>
      </c>
      <c r="BR175" s="320">
        <f t="shared" si="199"/>
        <v>0</v>
      </c>
      <c r="BS175" s="320">
        <f t="shared" si="199"/>
        <v>0</v>
      </c>
      <c r="BT175" s="427">
        <v>0</v>
      </c>
      <c r="BU175" s="320">
        <f t="shared" si="198"/>
        <v>0</v>
      </c>
      <c r="BV175" s="320">
        <f t="shared" si="158"/>
        <v>0</v>
      </c>
      <c r="BW175" s="320">
        <f t="shared" si="175"/>
        <v>0</v>
      </c>
      <c r="BX175" s="427">
        <v>1.2</v>
      </c>
      <c r="BY175" s="320">
        <f t="shared" si="133"/>
        <v>1</v>
      </c>
      <c r="BZ175" s="320">
        <f t="shared" si="159"/>
        <v>1</v>
      </c>
      <c r="CA175" s="320">
        <f t="shared" si="206"/>
        <v>0</v>
      </c>
      <c r="CB175" s="320">
        <f t="shared" si="134"/>
        <v>0</v>
      </c>
      <c r="CC175" s="427">
        <v>0</v>
      </c>
      <c r="CD175" s="320">
        <f t="shared" si="160"/>
        <v>0</v>
      </c>
      <c r="CE175" s="320">
        <f t="shared" si="161"/>
        <v>0</v>
      </c>
      <c r="CF175" s="320">
        <f t="shared" si="162"/>
        <v>0</v>
      </c>
      <c r="CG175" s="320">
        <f t="shared" si="163"/>
        <v>0</v>
      </c>
      <c r="CH175" s="427">
        <v>0</v>
      </c>
      <c r="CI175" s="427">
        <v>0</v>
      </c>
      <c r="CJ175" s="427">
        <v>0</v>
      </c>
      <c r="CK175" s="427">
        <v>0</v>
      </c>
      <c r="CL175" s="320">
        <f t="shared" si="178"/>
        <v>0</v>
      </c>
      <c r="CM175" s="320">
        <f t="shared" si="164"/>
        <v>0</v>
      </c>
      <c r="CN175" s="320">
        <f t="shared" si="165"/>
        <v>0</v>
      </c>
      <c r="CO175" s="320">
        <f t="shared" si="204"/>
        <v>0</v>
      </c>
      <c r="CP175" s="427">
        <v>1</v>
      </c>
      <c r="CQ175" s="427">
        <v>0</v>
      </c>
      <c r="CR175" s="320">
        <f t="shared" si="167"/>
        <v>0</v>
      </c>
      <c r="CS175" s="320">
        <f t="shared" si="176"/>
        <v>0</v>
      </c>
      <c r="CT175" s="320">
        <f t="shared" si="200"/>
        <v>0</v>
      </c>
      <c r="CU175" s="320">
        <f t="shared" si="201"/>
        <v>0</v>
      </c>
      <c r="CV175" s="427">
        <v>1</v>
      </c>
      <c r="CW175" s="17">
        <v>0</v>
      </c>
      <c r="CX175" s="320">
        <f t="shared" si="202"/>
        <v>0</v>
      </c>
      <c r="CY175" s="320">
        <f t="shared" si="168"/>
        <v>0</v>
      </c>
      <c r="CZ175" s="320">
        <f t="shared" si="169"/>
        <v>0</v>
      </c>
      <c r="DA175" s="17">
        <v>1</v>
      </c>
      <c r="DB175" s="17">
        <v>1</v>
      </c>
      <c r="DC175" s="17">
        <v>0</v>
      </c>
      <c r="DD175" s="31"/>
      <c r="DE175" s="376" t="s">
        <v>388</v>
      </c>
      <c r="DF175" s="323" t="s">
        <v>388</v>
      </c>
      <c r="DG175" s="323" t="s">
        <v>388</v>
      </c>
      <c r="DH175" s="323" t="s">
        <v>387</v>
      </c>
      <c r="DI175" s="323" t="s">
        <v>388</v>
      </c>
      <c r="DJ175" s="323" t="s">
        <v>388</v>
      </c>
      <c r="DK175" s="323" t="s">
        <v>388</v>
      </c>
      <c r="DL175" s="323" t="s">
        <v>388</v>
      </c>
      <c r="DM175" s="323" t="s">
        <v>1339</v>
      </c>
      <c r="DN175" s="323" t="s">
        <v>388</v>
      </c>
      <c r="DO175" s="323" t="s">
        <v>388</v>
      </c>
      <c r="DP175" s="324"/>
      <c r="DQ175" s="345" t="s">
        <v>392</v>
      </c>
      <c r="DR175" s="242"/>
      <c r="DS175" s="429">
        <f t="shared" si="170"/>
        <v>8.6956521739130432E-2</v>
      </c>
      <c r="DT175" s="429"/>
      <c r="DU175" s="429"/>
      <c r="DV175" s="429"/>
      <c r="DW175" s="429"/>
      <c r="DX175" s="429"/>
      <c r="DY175" s="429"/>
      <c r="DZ175" s="134"/>
      <c r="EA175" s="134"/>
      <c r="EB175" s="134"/>
      <c r="EC175" s="134"/>
      <c r="ED175" s="123"/>
      <c r="EH175" s="46">
        <v>0</v>
      </c>
      <c r="EI175" s="45"/>
      <c r="EJ175" s="33" t="b">
        <f t="shared" si="171"/>
        <v>0</v>
      </c>
      <c r="EK175" s="42"/>
      <c r="EL175" s="42"/>
      <c r="EM175" s="42"/>
      <c r="EN175" s="439"/>
      <c r="EO175" s="439"/>
      <c r="EP175" s="439"/>
      <c r="EQ175" s="47"/>
      <c r="ER175" s="431"/>
      <c r="ES175" s="440"/>
      <c r="ET175" s="431"/>
      <c r="EU175" s="440"/>
      <c r="EV175" s="440"/>
      <c r="EZ175" s="393" t="s">
        <v>1353</v>
      </c>
      <c r="FA175" s="393" t="s">
        <v>1353</v>
      </c>
      <c r="FB175" s="389">
        <v>23570.312999999998</v>
      </c>
      <c r="FC175" s="389">
        <v>21826.163</v>
      </c>
      <c r="FD175" s="389">
        <v>20954.088</v>
      </c>
      <c r="FE175" s="389">
        <v>20082.011999999999</v>
      </c>
      <c r="FF175" s="389">
        <v>19209.937999999998</v>
      </c>
      <c r="FG175" s="390">
        <v>-7.9910976565143472E-3</v>
      </c>
      <c r="FH175" s="390">
        <v>-8.3236836649726864E-3</v>
      </c>
      <c r="FI175" s="390">
        <v>-8.6851257732542004E-3</v>
      </c>
      <c r="FJ175" s="391">
        <v>4.3423335488170553E-2</v>
      </c>
      <c r="FK175" s="391" t="s">
        <v>1386</v>
      </c>
      <c r="FL175" s="31" t="s">
        <v>1379</v>
      </c>
      <c r="FN175" s="128" t="s">
        <v>1720</v>
      </c>
      <c r="FO175" s="128" t="s">
        <v>1721</v>
      </c>
      <c r="FP175" s="128" t="s">
        <v>1348</v>
      </c>
    </row>
    <row r="176" spans="1:177" ht="22" hidden="1" customHeight="1" x14ac:dyDescent="0.2">
      <c r="A176" s="16" t="s">
        <v>16</v>
      </c>
      <c r="B176" s="19" t="s">
        <v>19</v>
      </c>
      <c r="C176" s="169" t="s">
        <v>1055</v>
      </c>
      <c r="D176" s="19"/>
      <c r="E176" s="128" t="s">
        <v>191</v>
      </c>
      <c r="F176" s="15" t="s">
        <v>637</v>
      </c>
      <c r="G176" s="15" t="s">
        <v>635</v>
      </c>
      <c r="H176" s="91">
        <f t="shared" si="205"/>
        <v>0</v>
      </c>
      <c r="I176" s="95">
        <f t="shared" si="203"/>
        <v>0</v>
      </c>
      <c r="J176" s="91"/>
      <c r="K176" s="256">
        <f t="shared" si="137"/>
        <v>0</v>
      </c>
      <c r="L176" s="101">
        <v>0</v>
      </c>
      <c r="M176" s="25"/>
      <c r="N176" s="89"/>
      <c r="O176" s="98" t="str">
        <f t="shared" si="136"/>
        <v>_x000D__x000D_</v>
      </c>
      <c r="P176" s="144" t="str">
        <f>CONCATENATE(V176,R176,X176)</f>
        <v>Suriname has taken a comprehensive approach to the management of its forests through the Forest Management Act (1992), National Forest Policy (2003) and Interim Strategic Action Plan for the Forest Sector (2008) and has been able to maintain its high forest cover and low deforestation rate through stringent management of forests by adopting and implementing sustainable forest management practices. Enhanced efforts at forest monitoring to address illegal logging as well as the adoption of tools such as Reduced Impact logging (RIL) in the logging sector has helped to maintain a low environmental and carbon footprint. However, much more detailed information on forest resources is needed and in this regard Suriname is currently piloting a national forest inventory. Suriname intends to increase efforts at sustainable forest and ecosystem management and stabilizing and minimizing deforestation and forest degradation unconditionally._x000D__x000D_Additionally, to support its efforts at maintaining the integrity of forest ecosystems and keeping with its obligations regarding the United Nations Convention on Biological Diversity, Suriname has established 13% of its total land area under a national protection system and will continue to pursue the expansion of this system by increasing the percentage of forests and wetlands under preservation._x000D__x000D_Suriname intends to continue to practice sustainable forestry management in an effort to promote multiple use of its forest resources while at the same time exploring options for the payment of forest climate services that its forest provide. Through this approach, and with adequate financial incentives and support, Suriname intends to maintain its high forest cover and low deforestation rate. As part of this approach, Suriname is keen to strengthen forest governance institutions and collaboration with the private sector and other stakeholders and to expand its program of awareness, monitoring and enforcement while also promoting research and acomprehensive forest inventory to provide detailed information on forests._x000D__x000D_Suriname is currently undertaking a process of REDD+ Readiness at the national level and initial steps are being taken to assess the drivers of deforestation and to develop strategy, approaches, and options among the key sectors including agriculture, logging, and mining. Also, estimation of national carbon stocks and the development of a Monitoring, Reporting and Verification (MRV) System are underway._x000D__x000D_A draft law for the protection of the mangrove forest along the North Atlantic coast of Suriname was prepared by the government. In addition, coastline stabilization by means of  wave breakers  to reduce wave force, promote sedimentation and subsequent mangrove regeneration, will increase mangrove forest stock and carbon sequestration._x000D__x000D_</v>
      </c>
      <c r="Q176" s="55"/>
      <c r="R176" s="64" t="s">
        <v>918</v>
      </c>
      <c r="S176" s="425"/>
      <c r="T176" s="300" t="s">
        <v>944</v>
      </c>
      <c r="U176" s="300" t="s">
        <v>925</v>
      </c>
      <c r="V176" s="300" t="s">
        <v>495</v>
      </c>
      <c r="W176" s="258"/>
      <c r="X176" s="307"/>
      <c r="Y176" s="274"/>
      <c r="Z176" s="426" t="s">
        <v>229</v>
      </c>
      <c r="AA176" s="320">
        <f t="shared" si="182"/>
        <v>0</v>
      </c>
      <c r="AB176" s="320">
        <f t="shared" si="183"/>
        <v>0</v>
      </c>
      <c r="AC176" s="320">
        <f t="shared" si="184"/>
        <v>0</v>
      </c>
      <c r="AD176" s="320">
        <f t="shared" si="185"/>
        <v>0</v>
      </c>
      <c r="AE176" s="320">
        <f t="shared" si="186"/>
        <v>0</v>
      </c>
      <c r="AF176" s="320">
        <f t="shared" si="187"/>
        <v>0</v>
      </c>
      <c r="AG176" s="320">
        <f t="shared" si="188"/>
        <v>1</v>
      </c>
      <c r="AH176" s="427">
        <v>1</v>
      </c>
      <c r="AI176" s="320">
        <f t="shared" si="189"/>
        <v>1</v>
      </c>
      <c r="AJ176" s="320">
        <f t="shared" si="190"/>
        <v>0</v>
      </c>
      <c r="AK176" s="320">
        <f t="shared" si="191"/>
        <v>0</v>
      </c>
      <c r="AL176" s="320">
        <f t="shared" si="192"/>
        <v>0</v>
      </c>
      <c r="AM176" s="320">
        <f t="shared" si="193"/>
        <v>0</v>
      </c>
      <c r="AN176" s="320">
        <f t="shared" si="194"/>
        <v>0</v>
      </c>
      <c r="AO176" s="427">
        <v>0</v>
      </c>
      <c r="AP176" s="320">
        <f t="shared" si="173"/>
        <v>0</v>
      </c>
      <c r="AQ176" s="320">
        <f t="shared" si="148"/>
        <v>0</v>
      </c>
      <c r="AR176" s="320">
        <f t="shared" si="149"/>
        <v>0</v>
      </c>
      <c r="AS176" s="320">
        <f t="shared" si="150"/>
        <v>0</v>
      </c>
      <c r="AT176" s="320">
        <f t="shared" si="151"/>
        <v>0</v>
      </c>
      <c r="AU176" s="320">
        <f t="shared" si="152"/>
        <v>0</v>
      </c>
      <c r="AV176" s="427">
        <v>0</v>
      </c>
      <c r="AW176" s="320">
        <f t="shared" si="153"/>
        <v>0</v>
      </c>
      <c r="AX176" s="320">
        <f t="shared" si="154"/>
        <v>0</v>
      </c>
      <c r="AY176" s="320">
        <f t="shared" si="155"/>
        <v>0</v>
      </c>
      <c r="AZ176" s="320">
        <f t="shared" si="156"/>
        <v>0</v>
      </c>
      <c r="BA176" s="17">
        <v>1</v>
      </c>
      <c r="BB176" s="17" t="s">
        <v>1293</v>
      </c>
      <c r="BC176" s="17">
        <v>0</v>
      </c>
      <c r="BD176" s="17">
        <v>0</v>
      </c>
      <c r="BE176" s="17">
        <v>0</v>
      </c>
      <c r="BF176" s="17">
        <v>0</v>
      </c>
      <c r="BG176" s="428">
        <f t="shared" si="195"/>
        <v>0</v>
      </c>
      <c r="BH176" s="17"/>
      <c r="BI176" s="17">
        <v>0</v>
      </c>
      <c r="BJ176" s="17" t="s">
        <v>1142</v>
      </c>
      <c r="BK176" s="17"/>
      <c r="BL176" s="17">
        <v>0</v>
      </c>
      <c r="BM176" s="17" t="s">
        <v>834</v>
      </c>
      <c r="BN176" s="320">
        <f t="shared" si="196"/>
        <v>0</v>
      </c>
      <c r="BO176" s="320">
        <f t="shared" si="197"/>
        <v>0</v>
      </c>
      <c r="BP176" s="427">
        <v>0</v>
      </c>
      <c r="BQ176" s="427" t="s">
        <v>834</v>
      </c>
      <c r="BR176" s="320">
        <f t="shared" si="199"/>
        <v>0</v>
      </c>
      <c r="BS176" s="320">
        <f t="shared" si="199"/>
        <v>0</v>
      </c>
      <c r="BT176" s="427">
        <v>0</v>
      </c>
      <c r="BU176" s="320">
        <f t="shared" si="198"/>
        <v>0</v>
      </c>
      <c r="BV176" s="320">
        <f t="shared" si="158"/>
        <v>0</v>
      </c>
      <c r="BW176" s="320">
        <f t="shared" si="175"/>
        <v>0</v>
      </c>
      <c r="BX176" s="427">
        <v>1</v>
      </c>
      <c r="BY176" s="320">
        <f t="shared" si="133"/>
        <v>1</v>
      </c>
      <c r="BZ176" s="320">
        <f t="shared" si="159"/>
        <v>0</v>
      </c>
      <c r="CA176" s="320">
        <f t="shared" si="206"/>
        <v>0</v>
      </c>
      <c r="CB176" s="320">
        <f t="shared" si="134"/>
        <v>0</v>
      </c>
      <c r="CC176" s="427">
        <v>1</v>
      </c>
      <c r="CD176" s="320">
        <f t="shared" si="160"/>
        <v>1</v>
      </c>
      <c r="CE176" s="320">
        <f t="shared" si="161"/>
        <v>0</v>
      </c>
      <c r="CF176" s="320">
        <f t="shared" si="162"/>
        <v>0</v>
      </c>
      <c r="CG176" s="320">
        <f t="shared" si="163"/>
        <v>0</v>
      </c>
      <c r="CH176" s="427">
        <v>1</v>
      </c>
      <c r="CI176" s="427">
        <v>0</v>
      </c>
      <c r="CJ176" s="427">
        <v>0</v>
      </c>
      <c r="CK176" s="427">
        <v>0</v>
      </c>
      <c r="CL176" s="320">
        <f t="shared" si="178"/>
        <v>0</v>
      </c>
      <c r="CM176" s="320">
        <f t="shared" si="164"/>
        <v>0</v>
      </c>
      <c r="CN176" s="320">
        <f t="shared" si="165"/>
        <v>0</v>
      </c>
      <c r="CO176" s="320">
        <f t="shared" si="204"/>
        <v>0</v>
      </c>
      <c r="CP176" s="427">
        <v>0</v>
      </c>
      <c r="CQ176" s="427">
        <v>0</v>
      </c>
      <c r="CR176" s="320">
        <f t="shared" si="167"/>
        <v>0</v>
      </c>
      <c r="CS176" s="320">
        <f t="shared" si="176"/>
        <v>0</v>
      </c>
      <c r="CT176" s="320">
        <f t="shared" si="200"/>
        <v>0</v>
      </c>
      <c r="CU176" s="320">
        <f t="shared" si="201"/>
        <v>0</v>
      </c>
      <c r="CV176" s="427">
        <v>0</v>
      </c>
      <c r="CW176" s="17">
        <v>0</v>
      </c>
      <c r="CX176" s="320">
        <f t="shared" si="202"/>
        <v>0</v>
      </c>
      <c r="CY176" s="320">
        <f t="shared" si="168"/>
        <v>0</v>
      </c>
      <c r="CZ176" s="320">
        <f t="shared" si="169"/>
        <v>0</v>
      </c>
      <c r="DA176" s="17">
        <v>1</v>
      </c>
      <c r="DB176" s="17">
        <v>1</v>
      </c>
      <c r="DC176" s="17">
        <v>1</v>
      </c>
      <c r="DD176" s="31"/>
      <c r="DE176" s="321" t="s">
        <v>387</v>
      </c>
      <c r="DF176" s="321" t="s">
        <v>388</v>
      </c>
      <c r="DG176" s="321" t="s">
        <v>388</v>
      </c>
      <c r="DH176" s="321" t="s">
        <v>387</v>
      </c>
      <c r="DI176" s="321"/>
      <c r="DJ176" s="321" t="s">
        <v>388</v>
      </c>
      <c r="DK176" s="321" t="s">
        <v>495</v>
      </c>
      <c r="DL176" s="321" t="s">
        <v>388</v>
      </c>
      <c r="DM176" s="321" t="s">
        <v>388</v>
      </c>
      <c r="DN176" s="321" t="s">
        <v>388</v>
      </c>
      <c r="DO176" s="321" t="s">
        <v>388</v>
      </c>
      <c r="DP176" s="322"/>
      <c r="DQ176" s="289"/>
      <c r="DR176" s="239">
        <f>SUM(DS176:DX176)/6</f>
        <v>0.10801127214170692</v>
      </c>
      <c r="DS176" s="429">
        <f t="shared" si="170"/>
        <v>8.6956521739130432E-2</v>
      </c>
      <c r="DT176" s="429">
        <f>SUM(BA176:BE176,BG176)/5</f>
        <v>0.2</v>
      </c>
      <c r="DU176" s="429">
        <f>SUM(BI176,BO176,BS176,BU176:BW176)/6</f>
        <v>0</v>
      </c>
      <c r="DV176" s="429">
        <f>SUM(BY176-CB176,CD176-CG176)/8</f>
        <v>0.25</v>
      </c>
      <c r="DW176" s="429">
        <f>SUM(CH176:CJ176,CL176:CO176,BN176,BR176)/9</f>
        <v>0.1111111111111111</v>
      </c>
      <c r="DX176" s="429">
        <f>SUM(CP176,CR176:CV176)/6</f>
        <v>0</v>
      </c>
      <c r="DY176" s="429"/>
      <c r="DZ176" s="140"/>
      <c r="EA176" s="140"/>
      <c r="EB176" s="140"/>
      <c r="EC176" s="140"/>
      <c r="ED176" s="123"/>
      <c r="EH176" s="44">
        <v>0</v>
      </c>
      <c r="EI176" s="45"/>
      <c r="EJ176" s="33" t="b">
        <f t="shared" si="171"/>
        <v>0</v>
      </c>
      <c r="EK176" s="42"/>
      <c r="EL176" s="42"/>
      <c r="EM176" s="42"/>
      <c r="EN176" s="439"/>
      <c r="EO176" s="439"/>
      <c r="EP176" s="439"/>
      <c r="EQ176" s="38"/>
      <c r="ER176" s="431"/>
      <c r="ES176" s="440"/>
      <c r="ET176" s="431"/>
      <c r="EU176" s="440"/>
      <c r="EV176" s="440"/>
      <c r="EZ176" s="393" t="s">
        <v>191</v>
      </c>
      <c r="FA176" s="393" t="s">
        <v>191</v>
      </c>
      <c r="FB176" s="389">
        <v>15430</v>
      </c>
      <c r="FC176" s="389">
        <v>15391</v>
      </c>
      <c r="FD176" s="389">
        <v>15371</v>
      </c>
      <c r="FE176" s="389">
        <v>15351</v>
      </c>
      <c r="FF176" s="389">
        <v>15332</v>
      </c>
      <c r="FG176" s="390">
        <v>-2.5989214475992465E-4</v>
      </c>
      <c r="FH176" s="390">
        <v>-2.6023030381887969E-4</v>
      </c>
      <c r="FI176" s="390">
        <v>-2.4754087681584262E-4</v>
      </c>
      <c r="FJ176" s="391">
        <v>-4.87622956159207E-2</v>
      </c>
      <c r="FK176" s="391" t="s">
        <v>1386</v>
      </c>
      <c r="FL176" s="31" t="s">
        <v>1391</v>
      </c>
      <c r="FN176" s="128" t="s">
        <v>1722</v>
      </c>
      <c r="FO176" s="128" t="s">
        <v>1723</v>
      </c>
      <c r="FP176" s="128"/>
    </row>
    <row r="177" spans="1:177" ht="22" hidden="1" customHeight="1" x14ac:dyDescent="0.2">
      <c r="A177" s="13" t="s">
        <v>10</v>
      </c>
      <c r="B177" s="14" t="s">
        <v>44</v>
      </c>
      <c r="C177" s="14"/>
      <c r="D177" s="14"/>
      <c r="E177" s="128" t="s">
        <v>192</v>
      </c>
      <c r="F177" s="15"/>
      <c r="G177" s="15" t="s">
        <v>634</v>
      </c>
      <c r="H177" s="91">
        <f t="shared" si="205"/>
        <v>1</v>
      </c>
      <c r="I177" s="95">
        <f t="shared" si="203"/>
        <v>0</v>
      </c>
      <c r="J177" s="91"/>
      <c r="K177" s="256">
        <f t="shared" si="137"/>
        <v>1</v>
      </c>
      <c r="L177" s="101">
        <v>0</v>
      </c>
      <c r="M177" s="99"/>
      <c r="N177" s="89"/>
      <c r="O177" s="98" t="str">
        <f t="shared" si="136"/>
        <v>_x000D__x000D_</v>
      </c>
      <c r="P177" s="98"/>
      <c r="Q177" s="55"/>
      <c r="R177" s="64" t="s">
        <v>918</v>
      </c>
      <c r="S177" s="425"/>
      <c r="T177" s="300" t="s">
        <v>834</v>
      </c>
      <c r="U177" s="300" t="s">
        <v>834</v>
      </c>
      <c r="V177" s="300" t="s">
        <v>834</v>
      </c>
      <c r="W177" s="258"/>
      <c r="X177" s="307" t="s">
        <v>834</v>
      </c>
      <c r="Y177" s="274"/>
      <c r="Z177" s="426"/>
      <c r="AA177" s="320">
        <f t="shared" si="182"/>
        <v>0</v>
      </c>
      <c r="AB177" s="320">
        <f t="shared" si="183"/>
        <v>0</v>
      </c>
      <c r="AC177" s="320">
        <f t="shared" si="184"/>
        <v>0</v>
      </c>
      <c r="AD177" s="320">
        <f t="shared" si="185"/>
        <v>0</v>
      </c>
      <c r="AE177" s="320">
        <f t="shared" si="186"/>
        <v>0</v>
      </c>
      <c r="AF177" s="320">
        <f t="shared" si="187"/>
        <v>0</v>
      </c>
      <c r="AG177" s="320">
        <f t="shared" si="188"/>
        <v>0</v>
      </c>
      <c r="AH177" s="427"/>
      <c r="AI177" s="320">
        <f t="shared" si="189"/>
        <v>0</v>
      </c>
      <c r="AJ177" s="320">
        <f t="shared" si="190"/>
        <v>0</v>
      </c>
      <c r="AK177" s="320">
        <f t="shared" si="191"/>
        <v>0</v>
      </c>
      <c r="AL177" s="320">
        <f t="shared" si="192"/>
        <v>0</v>
      </c>
      <c r="AM177" s="320">
        <f t="shared" si="193"/>
        <v>0</v>
      </c>
      <c r="AN177" s="320">
        <f t="shared" si="194"/>
        <v>0</v>
      </c>
      <c r="AO177" s="427"/>
      <c r="AP177" s="320">
        <f t="shared" si="173"/>
        <v>0</v>
      </c>
      <c r="AQ177" s="320">
        <f t="shared" si="148"/>
        <v>0</v>
      </c>
      <c r="AR177" s="320">
        <f t="shared" si="149"/>
        <v>0</v>
      </c>
      <c r="AS177" s="320">
        <f t="shared" si="150"/>
        <v>0</v>
      </c>
      <c r="AT177" s="320">
        <f t="shared" si="151"/>
        <v>0</v>
      </c>
      <c r="AU177" s="320">
        <f t="shared" si="152"/>
        <v>0</v>
      </c>
      <c r="AV177" s="427"/>
      <c r="AW177" s="320">
        <f t="shared" si="153"/>
        <v>0</v>
      </c>
      <c r="AX177" s="320">
        <f t="shared" si="154"/>
        <v>0</v>
      </c>
      <c r="AY177" s="320">
        <f t="shared" si="155"/>
        <v>0</v>
      </c>
      <c r="AZ177" s="320">
        <f t="shared" si="156"/>
        <v>0</v>
      </c>
      <c r="BA177" s="17"/>
      <c r="BB177" s="17" t="s">
        <v>834</v>
      </c>
      <c r="BC177" s="17"/>
      <c r="BD177" s="17"/>
      <c r="BE177" s="17"/>
      <c r="BF177" s="17"/>
      <c r="BG177" s="428">
        <f t="shared" si="195"/>
        <v>0</v>
      </c>
      <c r="BH177" s="17"/>
      <c r="BI177" s="17"/>
      <c r="BJ177" s="17"/>
      <c r="BK177" s="17"/>
      <c r="BL177" s="17"/>
      <c r="BM177" s="17"/>
      <c r="BN177" s="320">
        <f t="shared" si="196"/>
        <v>0</v>
      </c>
      <c r="BO177" s="320">
        <f t="shared" si="197"/>
        <v>0</v>
      </c>
      <c r="BP177" s="427"/>
      <c r="BQ177" s="427"/>
      <c r="BR177" s="320">
        <f t="shared" si="199"/>
        <v>0</v>
      </c>
      <c r="BS177" s="320">
        <f t="shared" si="199"/>
        <v>0</v>
      </c>
      <c r="BT177" s="427"/>
      <c r="BU177" s="320">
        <f t="shared" si="198"/>
        <v>0</v>
      </c>
      <c r="BV177" s="320">
        <f t="shared" si="158"/>
        <v>0</v>
      </c>
      <c r="BW177" s="320">
        <f t="shared" si="175"/>
        <v>0</v>
      </c>
      <c r="BX177" s="427"/>
      <c r="BY177" s="320">
        <f t="shared" si="133"/>
        <v>0</v>
      </c>
      <c r="BZ177" s="320">
        <f t="shared" si="159"/>
        <v>0</v>
      </c>
      <c r="CA177" s="320">
        <f t="shared" si="206"/>
        <v>0</v>
      </c>
      <c r="CB177" s="320">
        <f t="shared" si="134"/>
        <v>0</v>
      </c>
      <c r="CC177" s="427"/>
      <c r="CD177" s="320">
        <f t="shared" si="160"/>
        <v>0</v>
      </c>
      <c r="CE177" s="320">
        <f t="shared" si="161"/>
        <v>0</v>
      </c>
      <c r="CF177" s="320">
        <f t="shared" si="162"/>
        <v>0</v>
      </c>
      <c r="CG177" s="320">
        <f t="shared" si="163"/>
        <v>0</v>
      </c>
      <c r="CH177" s="427"/>
      <c r="CI177" s="427"/>
      <c r="CJ177" s="427"/>
      <c r="CK177" s="427"/>
      <c r="CL177" s="320">
        <f t="shared" si="178"/>
        <v>0</v>
      </c>
      <c r="CM177" s="320">
        <f t="shared" si="164"/>
        <v>0</v>
      </c>
      <c r="CN177" s="320">
        <f t="shared" si="165"/>
        <v>0</v>
      </c>
      <c r="CO177" s="320">
        <f t="shared" si="204"/>
        <v>0</v>
      </c>
      <c r="CP177" s="427"/>
      <c r="CQ177" s="427"/>
      <c r="CR177" s="320">
        <f t="shared" si="167"/>
        <v>0</v>
      </c>
      <c r="CS177" s="320">
        <f t="shared" si="176"/>
        <v>0</v>
      </c>
      <c r="CT177" s="320">
        <f t="shared" si="200"/>
        <v>0</v>
      </c>
      <c r="CU177" s="320">
        <f t="shared" si="201"/>
        <v>0</v>
      </c>
      <c r="CV177" s="427"/>
      <c r="CW177" s="17"/>
      <c r="CX177" s="320">
        <f t="shared" si="202"/>
        <v>0</v>
      </c>
      <c r="CY177" s="320">
        <f t="shared" si="168"/>
        <v>0</v>
      </c>
      <c r="CZ177" s="320">
        <f t="shared" si="169"/>
        <v>0</v>
      </c>
      <c r="DA177" s="17"/>
      <c r="DB177" s="17"/>
      <c r="DC177" s="17"/>
      <c r="DD177" s="31"/>
      <c r="DE177" s="323"/>
      <c r="DF177" s="323"/>
      <c r="DG177" s="323"/>
      <c r="DH177" s="323"/>
      <c r="DI177" s="323"/>
      <c r="DJ177" s="323"/>
      <c r="DK177" s="323"/>
      <c r="DL177" s="323"/>
      <c r="DM177" s="323"/>
      <c r="DN177" s="323"/>
      <c r="DO177" s="323"/>
      <c r="DP177" s="324"/>
      <c r="DQ177" s="288"/>
      <c r="DR177" s="242"/>
      <c r="DS177" s="429">
        <f t="shared" si="170"/>
        <v>0</v>
      </c>
      <c r="DT177" s="429"/>
      <c r="DU177" s="429"/>
      <c r="DV177" s="429"/>
      <c r="DW177" s="429"/>
      <c r="DX177" s="429"/>
      <c r="DY177" s="429"/>
      <c r="DZ177" s="134"/>
      <c r="EA177" s="134"/>
      <c r="EB177" s="134"/>
      <c r="EC177" s="134"/>
      <c r="ED177" s="123"/>
      <c r="EH177" s="46">
        <v>0</v>
      </c>
      <c r="EI177" s="45"/>
      <c r="EJ177" s="33" t="b">
        <f t="shared" si="171"/>
        <v>0</v>
      </c>
      <c r="EK177" s="42"/>
      <c r="EL177" s="42"/>
      <c r="EM177" s="42"/>
      <c r="EN177" s="439"/>
      <c r="EO177" s="439"/>
      <c r="EP177" s="439"/>
      <c r="EQ177" s="47"/>
      <c r="ER177" s="431"/>
      <c r="ES177" s="440"/>
      <c r="ET177" s="431" t="s">
        <v>254</v>
      </c>
      <c r="EU177" s="440"/>
      <c r="EV177" s="440"/>
      <c r="EZ177" s="393" t="s">
        <v>192</v>
      </c>
      <c r="FA177" s="393" t="s">
        <v>192</v>
      </c>
      <c r="FB177" s="389">
        <v>472</v>
      </c>
      <c r="FC177" s="389">
        <v>518</v>
      </c>
      <c r="FD177" s="389">
        <v>541</v>
      </c>
      <c r="FE177" s="389">
        <v>563</v>
      </c>
      <c r="FF177" s="389">
        <v>586</v>
      </c>
      <c r="FG177" s="390">
        <v>8.8803088803088813E-3</v>
      </c>
      <c r="FH177" s="390">
        <v>8.1330868761552676E-3</v>
      </c>
      <c r="FI177" s="390">
        <v>8.1705150976909419E-3</v>
      </c>
      <c r="FJ177" s="391" t="s">
        <v>1389</v>
      </c>
      <c r="FK177" s="391">
        <v>4.6019699660908627E-3</v>
      </c>
      <c r="FL177" s="31" t="s">
        <v>1396</v>
      </c>
      <c r="FN177" s="128" t="s">
        <v>1724</v>
      </c>
      <c r="FO177" s="128" t="s">
        <v>1725</v>
      </c>
      <c r="FP177" s="128"/>
    </row>
    <row r="178" spans="1:177" ht="22" hidden="1" customHeight="1" x14ac:dyDescent="0.2">
      <c r="A178" s="13" t="s">
        <v>7</v>
      </c>
      <c r="B178" s="14" t="s">
        <v>77</v>
      </c>
      <c r="C178" s="14"/>
      <c r="D178" s="14"/>
      <c r="E178" s="128" t="s">
        <v>193</v>
      </c>
      <c r="F178" s="15"/>
      <c r="G178" s="15" t="s">
        <v>634</v>
      </c>
      <c r="H178" s="91">
        <f t="shared" si="205"/>
        <v>1</v>
      </c>
      <c r="I178" s="95">
        <f t="shared" si="203"/>
        <v>0</v>
      </c>
      <c r="J178" s="91"/>
      <c r="K178" s="256">
        <f t="shared" si="137"/>
        <v>1</v>
      </c>
      <c r="L178" s="101">
        <v>0</v>
      </c>
      <c r="M178" s="99"/>
      <c r="N178" s="89"/>
      <c r="O178" s="98" t="str">
        <f t="shared" si="136"/>
        <v>_x000D__x000D_</v>
      </c>
      <c r="P178" s="98"/>
      <c r="Q178" s="55"/>
      <c r="R178" s="64" t="s">
        <v>918</v>
      </c>
      <c r="S178" s="425"/>
      <c r="T178" s="300" t="s">
        <v>834</v>
      </c>
      <c r="U178" s="300" t="s">
        <v>834</v>
      </c>
      <c r="V178" s="300" t="s">
        <v>834</v>
      </c>
      <c r="W178" s="258"/>
      <c r="X178" s="307" t="s">
        <v>834</v>
      </c>
      <c r="Y178" s="274"/>
      <c r="Z178" s="426"/>
      <c r="AA178" s="320">
        <f t="shared" si="182"/>
        <v>0</v>
      </c>
      <c r="AB178" s="320">
        <f t="shared" si="183"/>
        <v>0</v>
      </c>
      <c r="AC178" s="320">
        <f t="shared" si="184"/>
        <v>0</v>
      </c>
      <c r="AD178" s="320">
        <f t="shared" si="185"/>
        <v>0</v>
      </c>
      <c r="AE178" s="320">
        <f t="shared" si="186"/>
        <v>0</v>
      </c>
      <c r="AF178" s="320">
        <f t="shared" si="187"/>
        <v>0</v>
      </c>
      <c r="AG178" s="320">
        <f t="shared" si="188"/>
        <v>0</v>
      </c>
      <c r="AH178" s="427"/>
      <c r="AI178" s="320">
        <f t="shared" si="189"/>
        <v>0</v>
      </c>
      <c r="AJ178" s="320">
        <f t="shared" si="190"/>
        <v>0</v>
      </c>
      <c r="AK178" s="320">
        <f t="shared" si="191"/>
        <v>0</v>
      </c>
      <c r="AL178" s="320">
        <f t="shared" si="192"/>
        <v>0</v>
      </c>
      <c r="AM178" s="320">
        <f t="shared" si="193"/>
        <v>0</v>
      </c>
      <c r="AN178" s="320">
        <f t="shared" si="194"/>
        <v>0</v>
      </c>
      <c r="AO178" s="427"/>
      <c r="AP178" s="320">
        <f t="shared" si="173"/>
        <v>0</v>
      </c>
      <c r="AQ178" s="320">
        <f t="shared" si="148"/>
        <v>0</v>
      </c>
      <c r="AR178" s="320">
        <f t="shared" si="149"/>
        <v>0</v>
      </c>
      <c r="AS178" s="320">
        <f t="shared" si="150"/>
        <v>0</v>
      </c>
      <c r="AT178" s="320">
        <f t="shared" si="151"/>
        <v>0</v>
      </c>
      <c r="AU178" s="320">
        <f t="shared" si="152"/>
        <v>0</v>
      </c>
      <c r="AV178" s="427"/>
      <c r="AW178" s="320">
        <f t="shared" si="153"/>
        <v>0</v>
      </c>
      <c r="AX178" s="320">
        <f t="shared" si="154"/>
        <v>0</v>
      </c>
      <c r="AY178" s="320">
        <f t="shared" si="155"/>
        <v>0</v>
      </c>
      <c r="AZ178" s="320">
        <f t="shared" si="156"/>
        <v>0</v>
      </c>
      <c r="BA178" s="17"/>
      <c r="BB178" s="17" t="s">
        <v>834</v>
      </c>
      <c r="BC178" s="17"/>
      <c r="BD178" s="17"/>
      <c r="BE178" s="17"/>
      <c r="BF178" s="17"/>
      <c r="BG178" s="428">
        <f t="shared" si="195"/>
        <v>0</v>
      </c>
      <c r="BH178" s="17"/>
      <c r="BI178" s="17"/>
      <c r="BJ178" s="17"/>
      <c r="BK178" s="17"/>
      <c r="BL178" s="17"/>
      <c r="BM178" s="17"/>
      <c r="BN178" s="320">
        <f t="shared" si="196"/>
        <v>0</v>
      </c>
      <c r="BO178" s="320">
        <f t="shared" si="197"/>
        <v>0</v>
      </c>
      <c r="BP178" s="427"/>
      <c r="BQ178" s="427"/>
      <c r="BR178" s="320">
        <f t="shared" si="199"/>
        <v>0</v>
      </c>
      <c r="BS178" s="320">
        <f t="shared" si="199"/>
        <v>0</v>
      </c>
      <c r="BT178" s="427"/>
      <c r="BU178" s="320">
        <f t="shared" si="198"/>
        <v>0</v>
      </c>
      <c r="BV178" s="320">
        <f t="shared" si="158"/>
        <v>0</v>
      </c>
      <c r="BW178" s="320">
        <f t="shared" si="175"/>
        <v>0</v>
      </c>
      <c r="BX178" s="427"/>
      <c r="BY178" s="320">
        <f t="shared" si="133"/>
        <v>0</v>
      </c>
      <c r="BZ178" s="320">
        <f t="shared" si="159"/>
        <v>0</v>
      </c>
      <c r="CA178" s="320">
        <f t="shared" si="206"/>
        <v>0</v>
      </c>
      <c r="CB178" s="320">
        <f t="shared" si="134"/>
        <v>0</v>
      </c>
      <c r="CC178" s="427"/>
      <c r="CD178" s="320">
        <f t="shared" si="160"/>
        <v>0</v>
      </c>
      <c r="CE178" s="320">
        <f t="shared" si="161"/>
        <v>0</v>
      </c>
      <c r="CF178" s="320">
        <f t="shared" si="162"/>
        <v>0</v>
      </c>
      <c r="CG178" s="320">
        <f t="shared" si="163"/>
        <v>0</v>
      </c>
      <c r="CH178" s="427"/>
      <c r="CI178" s="427"/>
      <c r="CJ178" s="427"/>
      <c r="CK178" s="427"/>
      <c r="CL178" s="320">
        <f t="shared" si="178"/>
        <v>0</v>
      </c>
      <c r="CM178" s="320">
        <f t="shared" si="164"/>
        <v>0</v>
      </c>
      <c r="CN178" s="320">
        <f t="shared" si="165"/>
        <v>0</v>
      </c>
      <c r="CO178" s="320">
        <f t="shared" si="204"/>
        <v>0</v>
      </c>
      <c r="CP178" s="427"/>
      <c r="CQ178" s="427"/>
      <c r="CR178" s="320">
        <f t="shared" si="167"/>
        <v>0</v>
      </c>
      <c r="CS178" s="320">
        <f t="shared" si="176"/>
        <v>0</v>
      </c>
      <c r="CT178" s="320">
        <f t="shared" si="200"/>
        <v>0</v>
      </c>
      <c r="CU178" s="320">
        <f t="shared" si="201"/>
        <v>0</v>
      </c>
      <c r="CV178" s="427"/>
      <c r="CW178" s="17"/>
      <c r="CX178" s="320">
        <f t="shared" si="202"/>
        <v>0</v>
      </c>
      <c r="CY178" s="320">
        <f t="shared" si="168"/>
        <v>0</v>
      </c>
      <c r="CZ178" s="320">
        <f t="shared" si="169"/>
        <v>0</v>
      </c>
      <c r="DA178" s="17"/>
      <c r="DB178" s="17"/>
      <c r="DC178" s="17"/>
      <c r="DD178" s="31"/>
      <c r="DE178" s="321"/>
      <c r="DF178" s="321"/>
      <c r="DG178" s="321"/>
      <c r="DH178" s="321"/>
      <c r="DI178" s="321"/>
      <c r="DJ178" s="321"/>
      <c r="DK178" s="321"/>
      <c r="DL178" s="321"/>
      <c r="DM178" s="321"/>
      <c r="DN178" s="321"/>
      <c r="DO178" s="321"/>
      <c r="DP178" s="322"/>
      <c r="DQ178" s="288"/>
      <c r="DR178" s="241"/>
      <c r="DS178" s="429">
        <f t="shared" si="170"/>
        <v>0</v>
      </c>
      <c r="DT178" s="429"/>
      <c r="DU178" s="429"/>
      <c r="DV178" s="429"/>
      <c r="DW178" s="429"/>
      <c r="DX178" s="429"/>
      <c r="DY178" s="429"/>
      <c r="DZ178" s="134"/>
      <c r="EA178" s="134"/>
      <c r="EB178" s="134"/>
      <c r="EC178" s="134"/>
      <c r="ED178" s="123"/>
      <c r="EH178" s="44">
        <v>0</v>
      </c>
      <c r="EI178" s="45"/>
      <c r="EJ178" s="33" t="b">
        <f t="shared" si="171"/>
        <v>0</v>
      </c>
      <c r="EK178" s="42"/>
      <c r="EL178" s="42"/>
      <c r="EM178" s="42"/>
      <c r="EN178" s="439"/>
      <c r="EO178" s="439"/>
      <c r="EP178" s="439"/>
      <c r="EQ178" s="38"/>
      <c r="ER178" s="431"/>
      <c r="ES178" s="440"/>
      <c r="ET178" s="431" t="s">
        <v>669</v>
      </c>
      <c r="EU178" s="440"/>
      <c r="EV178" s="440"/>
      <c r="EZ178" s="393" t="s">
        <v>193</v>
      </c>
      <c r="FA178" s="393" t="s">
        <v>193</v>
      </c>
      <c r="FB178" s="389">
        <v>28063</v>
      </c>
      <c r="FC178" s="389">
        <v>28163</v>
      </c>
      <c r="FD178" s="389">
        <v>28218</v>
      </c>
      <c r="FE178" s="389">
        <v>28073</v>
      </c>
      <c r="FF178" s="389">
        <v>28073</v>
      </c>
      <c r="FG178" s="390">
        <v>3.9058338955366971E-4</v>
      </c>
      <c r="FH178" s="390">
        <v>-1.0277128074278829E-3</v>
      </c>
      <c r="FI178" s="390">
        <v>0</v>
      </c>
      <c r="FJ178" s="391">
        <v>-1</v>
      </c>
      <c r="FK178" s="391" t="s">
        <v>1386</v>
      </c>
      <c r="FL178" s="31" t="s">
        <v>1392</v>
      </c>
      <c r="FN178" s="128" t="s">
        <v>1726</v>
      </c>
      <c r="FO178" s="128" t="s">
        <v>1727</v>
      </c>
      <c r="FP178" s="128"/>
    </row>
    <row r="179" spans="1:177" ht="22" hidden="1" customHeight="1" x14ac:dyDescent="0.2">
      <c r="A179" s="13" t="s">
        <v>7</v>
      </c>
      <c r="B179" s="14" t="s">
        <v>27</v>
      </c>
      <c r="C179" s="9" t="s">
        <v>1056</v>
      </c>
      <c r="D179" s="14"/>
      <c r="E179" s="128" t="s">
        <v>194</v>
      </c>
      <c r="F179" s="15"/>
      <c r="G179" s="15" t="s">
        <v>635</v>
      </c>
      <c r="H179" s="91">
        <f t="shared" si="205"/>
        <v>0</v>
      </c>
      <c r="I179" s="95">
        <f t="shared" si="203"/>
        <v>0</v>
      </c>
      <c r="J179" s="91"/>
      <c r="K179" s="256">
        <f t="shared" si="137"/>
        <v>0</v>
      </c>
      <c r="L179" s="101">
        <v>0</v>
      </c>
      <c r="M179" s="99"/>
      <c r="N179" s="89"/>
      <c r="O179" s="98" t="str">
        <f t="shared" si="136"/>
        <v>_x000D__x000D_</v>
      </c>
      <c r="P179" s="98" t="str">
        <f>CONCATENATE(V179,R179,X179)</f>
        <v>_x000D__x000D_</v>
      </c>
      <c r="Q179" s="55"/>
      <c r="R179" s="64" t="s">
        <v>918</v>
      </c>
      <c r="S179" s="425"/>
      <c r="T179" s="300" t="s">
        <v>885</v>
      </c>
      <c r="U179" s="300" t="s">
        <v>834</v>
      </c>
      <c r="V179" s="300" t="s">
        <v>834</v>
      </c>
      <c r="W179" s="258"/>
      <c r="X179" s="307" t="s">
        <v>834</v>
      </c>
      <c r="Y179" s="274"/>
      <c r="Z179" s="426"/>
      <c r="AA179" s="320">
        <f t="shared" si="182"/>
        <v>0</v>
      </c>
      <c r="AB179" s="320">
        <f t="shared" si="183"/>
        <v>0</v>
      </c>
      <c r="AC179" s="320">
        <f t="shared" si="184"/>
        <v>0</v>
      </c>
      <c r="AD179" s="320">
        <f t="shared" si="185"/>
        <v>0</v>
      </c>
      <c r="AE179" s="320">
        <f t="shared" si="186"/>
        <v>0</v>
      </c>
      <c r="AF179" s="320">
        <f t="shared" si="187"/>
        <v>0</v>
      </c>
      <c r="AG179" s="320">
        <f t="shared" si="188"/>
        <v>0</v>
      </c>
      <c r="AH179" s="427"/>
      <c r="AI179" s="320">
        <f t="shared" si="189"/>
        <v>0</v>
      </c>
      <c r="AJ179" s="320">
        <f t="shared" si="190"/>
        <v>0</v>
      </c>
      <c r="AK179" s="320">
        <f t="shared" si="191"/>
        <v>0</v>
      </c>
      <c r="AL179" s="320">
        <f t="shared" si="192"/>
        <v>0</v>
      </c>
      <c r="AM179" s="320">
        <f t="shared" si="193"/>
        <v>0</v>
      </c>
      <c r="AN179" s="320">
        <f t="shared" si="194"/>
        <v>0</v>
      </c>
      <c r="AO179" s="427"/>
      <c r="AP179" s="320">
        <f t="shared" si="173"/>
        <v>0</v>
      </c>
      <c r="AQ179" s="320">
        <f t="shared" si="148"/>
        <v>0</v>
      </c>
      <c r="AR179" s="320">
        <f t="shared" si="149"/>
        <v>0</v>
      </c>
      <c r="AS179" s="320">
        <f t="shared" si="150"/>
        <v>0</v>
      </c>
      <c r="AT179" s="320">
        <f t="shared" si="151"/>
        <v>0</v>
      </c>
      <c r="AU179" s="320">
        <f t="shared" si="152"/>
        <v>0</v>
      </c>
      <c r="AV179" s="427"/>
      <c r="AW179" s="320">
        <f t="shared" si="153"/>
        <v>0</v>
      </c>
      <c r="AX179" s="320">
        <f t="shared" si="154"/>
        <v>0</v>
      </c>
      <c r="AY179" s="320">
        <f t="shared" si="155"/>
        <v>0</v>
      </c>
      <c r="AZ179" s="320">
        <f t="shared" si="156"/>
        <v>0</v>
      </c>
      <c r="BA179" s="17">
        <v>1</v>
      </c>
      <c r="BB179" s="17" t="s">
        <v>885</v>
      </c>
      <c r="BC179" s="17"/>
      <c r="BD179" s="17"/>
      <c r="BE179" s="17"/>
      <c r="BF179" s="17"/>
      <c r="BG179" s="428">
        <f t="shared" si="195"/>
        <v>0</v>
      </c>
      <c r="BH179" s="17"/>
      <c r="BI179" s="17"/>
      <c r="BJ179" s="17"/>
      <c r="BK179" s="17"/>
      <c r="BL179" s="17"/>
      <c r="BM179" s="17"/>
      <c r="BN179" s="320">
        <f t="shared" si="196"/>
        <v>0</v>
      </c>
      <c r="BO179" s="320">
        <f t="shared" si="197"/>
        <v>0</v>
      </c>
      <c r="BP179" s="427"/>
      <c r="BQ179" s="427"/>
      <c r="BR179" s="320">
        <f t="shared" si="199"/>
        <v>0</v>
      </c>
      <c r="BS179" s="320">
        <f t="shared" si="199"/>
        <v>0</v>
      </c>
      <c r="BT179" s="427"/>
      <c r="BU179" s="320">
        <f t="shared" si="198"/>
        <v>0</v>
      </c>
      <c r="BV179" s="320">
        <f t="shared" si="158"/>
        <v>0</v>
      </c>
      <c r="BW179" s="320">
        <f t="shared" si="175"/>
        <v>0</v>
      </c>
      <c r="BX179" s="427"/>
      <c r="BY179" s="320">
        <f t="shared" si="133"/>
        <v>0</v>
      </c>
      <c r="BZ179" s="320">
        <f t="shared" si="159"/>
        <v>0</v>
      </c>
      <c r="CA179" s="320">
        <f t="shared" si="206"/>
        <v>0</v>
      </c>
      <c r="CB179" s="320">
        <f t="shared" si="134"/>
        <v>0</v>
      </c>
      <c r="CC179" s="427"/>
      <c r="CD179" s="320">
        <f t="shared" si="160"/>
        <v>0</v>
      </c>
      <c r="CE179" s="320">
        <f t="shared" si="161"/>
        <v>0</v>
      </c>
      <c r="CF179" s="320">
        <f t="shared" si="162"/>
        <v>0</v>
      </c>
      <c r="CG179" s="320">
        <f t="shared" si="163"/>
        <v>0</v>
      </c>
      <c r="CH179" s="427"/>
      <c r="CI179" s="427"/>
      <c r="CJ179" s="427"/>
      <c r="CK179" s="427"/>
      <c r="CL179" s="320">
        <f t="shared" si="178"/>
        <v>0</v>
      </c>
      <c r="CM179" s="320">
        <f t="shared" si="164"/>
        <v>0</v>
      </c>
      <c r="CN179" s="320">
        <f t="shared" si="165"/>
        <v>0</v>
      </c>
      <c r="CO179" s="320">
        <f t="shared" si="204"/>
        <v>0</v>
      </c>
      <c r="CP179" s="427"/>
      <c r="CQ179" s="427"/>
      <c r="CR179" s="320">
        <f t="shared" si="167"/>
        <v>0</v>
      </c>
      <c r="CS179" s="320">
        <f t="shared" si="176"/>
        <v>0</v>
      </c>
      <c r="CT179" s="320">
        <f t="shared" si="200"/>
        <v>0</v>
      </c>
      <c r="CU179" s="320">
        <f t="shared" si="201"/>
        <v>0</v>
      </c>
      <c r="CV179" s="427"/>
      <c r="CW179" s="17"/>
      <c r="CX179" s="320">
        <f t="shared" si="202"/>
        <v>0</v>
      </c>
      <c r="CY179" s="320">
        <f t="shared" si="168"/>
        <v>0</v>
      </c>
      <c r="CZ179" s="320">
        <f t="shared" si="169"/>
        <v>0</v>
      </c>
      <c r="DA179" s="17"/>
      <c r="DB179" s="17"/>
      <c r="DC179" s="17"/>
      <c r="DD179" s="31"/>
      <c r="DE179" s="323"/>
      <c r="DF179" s="323"/>
      <c r="DG179" s="323"/>
      <c r="DH179" s="323"/>
      <c r="DI179" s="323"/>
      <c r="DJ179" s="323"/>
      <c r="DK179" s="323"/>
      <c r="DL179" s="323"/>
      <c r="DM179" s="323"/>
      <c r="DN179" s="323"/>
      <c r="DO179" s="323"/>
      <c r="DP179" s="324"/>
      <c r="DQ179" s="288"/>
      <c r="DR179" s="242"/>
      <c r="DS179" s="429">
        <f t="shared" si="170"/>
        <v>0</v>
      </c>
      <c r="DT179" s="429"/>
      <c r="DU179" s="429"/>
      <c r="DV179" s="429"/>
      <c r="DW179" s="429"/>
      <c r="DX179" s="429"/>
      <c r="DY179" s="429"/>
      <c r="DZ179" s="134"/>
      <c r="EA179" s="134"/>
      <c r="EB179" s="134"/>
      <c r="EC179" s="134"/>
      <c r="ED179" s="123"/>
      <c r="EH179" s="46"/>
      <c r="EI179" s="45"/>
      <c r="EJ179" s="33" t="b">
        <f t="shared" si="171"/>
        <v>0</v>
      </c>
      <c r="EK179" s="42"/>
      <c r="EL179" s="42"/>
      <c r="EM179" s="42"/>
      <c r="EN179" s="439"/>
      <c r="EO179" s="439"/>
      <c r="EP179" s="439"/>
      <c r="EQ179" s="47"/>
      <c r="ER179" s="431"/>
      <c r="ES179" s="440"/>
      <c r="ET179" s="431"/>
      <c r="EU179" s="440"/>
      <c r="EV179" s="440"/>
      <c r="EZ179" s="393" t="s">
        <v>194</v>
      </c>
      <c r="FA179" s="393" t="s">
        <v>194</v>
      </c>
      <c r="FB179" s="389">
        <v>1151</v>
      </c>
      <c r="FC179" s="389">
        <v>1194</v>
      </c>
      <c r="FD179" s="389">
        <v>1217</v>
      </c>
      <c r="FE179" s="389">
        <v>1235</v>
      </c>
      <c r="FF179" s="389">
        <v>1254</v>
      </c>
      <c r="FG179" s="390">
        <v>3.8525963149078726E-3</v>
      </c>
      <c r="FH179" s="390">
        <v>2.9580936729663105E-3</v>
      </c>
      <c r="FI179" s="390">
        <v>3.0769230769230769E-3</v>
      </c>
      <c r="FJ179" s="391" t="s">
        <v>1389</v>
      </c>
      <c r="FK179" s="391">
        <v>4.0170940170940216E-2</v>
      </c>
      <c r="FL179" s="31" t="s">
        <v>1396</v>
      </c>
      <c r="FN179" s="128" t="s">
        <v>1728</v>
      </c>
      <c r="FO179" s="128" t="s">
        <v>1729</v>
      </c>
      <c r="FP179" s="128"/>
    </row>
    <row r="180" spans="1:177" ht="22" customHeight="1" x14ac:dyDescent="0.2">
      <c r="A180" s="13" t="s">
        <v>4</v>
      </c>
      <c r="B180" s="14" t="s">
        <v>21</v>
      </c>
      <c r="C180" s="14"/>
      <c r="D180" s="14"/>
      <c r="E180" s="215" t="s">
        <v>1320</v>
      </c>
      <c r="F180" s="15" t="s">
        <v>1355</v>
      </c>
      <c r="G180" s="15" t="s">
        <v>634</v>
      </c>
      <c r="H180" s="91">
        <f t="shared" si="205"/>
        <v>1</v>
      </c>
      <c r="I180" s="95">
        <f t="shared" si="203"/>
        <v>0</v>
      </c>
      <c r="J180" s="91"/>
      <c r="K180" s="256">
        <f t="shared" si="137"/>
        <v>1</v>
      </c>
      <c r="L180" s="257">
        <v>0</v>
      </c>
      <c r="M180" s="162"/>
      <c r="N180" s="155">
        <v>0</v>
      </c>
      <c r="O180" s="158" t="str">
        <f t="shared" si="136"/>
        <v>N/A or not found_x000D__x000D_</v>
      </c>
      <c r="P180" s="98" t="str">
        <f>CONCATENATE(V180,R180,X180)</f>
        <v>N/A or not found_x000D__x000D_</v>
      </c>
      <c r="Q180" s="360" t="s">
        <v>925</v>
      </c>
      <c r="R180" s="64" t="s">
        <v>918</v>
      </c>
      <c r="S180" s="432"/>
      <c r="T180" s="300" t="s">
        <v>925</v>
      </c>
      <c r="U180" s="300" t="s">
        <v>925</v>
      </c>
      <c r="V180" s="300" t="s">
        <v>925</v>
      </c>
      <c r="W180" s="258"/>
      <c r="X180" s="306" t="s">
        <v>834</v>
      </c>
      <c r="Y180" s="295"/>
      <c r="Z180" s="426"/>
      <c r="AA180" s="320">
        <f t="shared" si="182"/>
        <v>0</v>
      </c>
      <c r="AB180" s="320">
        <f t="shared" si="183"/>
        <v>0</v>
      </c>
      <c r="AC180" s="320">
        <f t="shared" si="184"/>
        <v>0</v>
      </c>
      <c r="AD180" s="320">
        <f t="shared" si="185"/>
        <v>0</v>
      </c>
      <c r="AE180" s="320">
        <f t="shared" si="186"/>
        <v>0</v>
      </c>
      <c r="AF180" s="320">
        <f t="shared" si="187"/>
        <v>0</v>
      </c>
      <c r="AG180" s="320">
        <f t="shared" si="188"/>
        <v>0</v>
      </c>
      <c r="AH180" s="427"/>
      <c r="AI180" s="320">
        <f t="shared" si="189"/>
        <v>0</v>
      </c>
      <c r="AJ180" s="320">
        <f t="shared" si="190"/>
        <v>0</v>
      </c>
      <c r="AK180" s="320">
        <f t="shared" si="191"/>
        <v>0</v>
      </c>
      <c r="AL180" s="320">
        <f t="shared" si="192"/>
        <v>0</v>
      </c>
      <c r="AM180" s="320">
        <f t="shared" si="193"/>
        <v>0</v>
      </c>
      <c r="AN180" s="320">
        <f t="shared" si="194"/>
        <v>0</v>
      </c>
      <c r="AO180" s="427"/>
      <c r="AP180" s="320">
        <f t="shared" si="173"/>
        <v>0</v>
      </c>
      <c r="AQ180" s="320">
        <f t="shared" si="148"/>
        <v>0</v>
      </c>
      <c r="AR180" s="320">
        <f t="shared" si="149"/>
        <v>0</v>
      </c>
      <c r="AS180" s="320">
        <f t="shared" si="150"/>
        <v>0</v>
      </c>
      <c r="AT180" s="320">
        <f t="shared" si="151"/>
        <v>0</v>
      </c>
      <c r="AU180" s="320">
        <f t="shared" si="152"/>
        <v>0</v>
      </c>
      <c r="AV180" s="427"/>
      <c r="AW180" s="320">
        <f t="shared" si="153"/>
        <v>0</v>
      </c>
      <c r="AX180" s="320">
        <f t="shared" si="154"/>
        <v>0</v>
      </c>
      <c r="AY180" s="320">
        <f t="shared" si="155"/>
        <v>0</v>
      </c>
      <c r="AZ180" s="320">
        <f t="shared" si="156"/>
        <v>0</v>
      </c>
      <c r="BA180" s="17"/>
      <c r="BB180" s="17" t="s">
        <v>834</v>
      </c>
      <c r="BC180" s="17"/>
      <c r="BD180" s="17"/>
      <c r="BE180" s="17"/>
      <c r="BF180" s="17"/>
      <c r="BG180" s="428">
        <f t="shared" si="195"/>
        <v>0</v>
      </c>
      <c r="BH180" s="17"/>
      <c r="BI180" s="17"/>
      <c r="BJ180" s="17" t="s">
        <v>834</v>
      </c>
      <c r="BK180" s="17"/>
      <c r="BL180" s="17"/>
      <c r="BM180" s="17"/>
      <c r="BN180" s="320">
        <f t="shared" si="196"/>
        <v>0</v>
      </c>
      <c r="BO180" s="320">
        <f t="shared" si="197"/>
        <v>0</v>
      </c>
      <c r="BP180" s="427"/>
      <c r="BQ180" s="427"/>
      <c r="BR180" s="320">
        <f t="shared" si="199"/>
        <v>0</v>
      </c>
      <c r="BS180" s="320">
        <f t="shared" si="199"/>
        <v>0</v>
      </c>
      <c r="BT180" s="427"/>
      <c r="BU180" s="320">
        <f t="shared" si="198"/>
        <v>0</v>
      </c>
      <c r="BV180" s="320">
        <f t="shared" si="158"/>
        <v>0</v>
      </c>
      <c r="BW180" s="320">
        <f t="shared" si="175"/>
        <v>0</v>
      </c>
      <c r="BX180" s="427"/>
      <c r="BY180" s="320">
        <f t="shared" si="133"/>
        <v>0</v>
      </c>
      <c r="BZ180" s="320">
        <f t="shared" si="159"/>
        <v>0</v>
      </c>
      <c r="CA180" s="320">
        <f t="shared" si="206"/>
        <v>0</v>
      </c>
      <c r="CB180" s="320">
        <f t="shared" si="134"/>
        <v>0</v>
      </c>
      <c r="CC180" s="427"/>
      <c r="CD180" s="320">
        <f t="shared" si="160"/>
        <v>0</v>
      </c>
      <c r="CE180" s="320">
        <f t="shared" si="161"/>
        <v>0</v>
      </c>
      <c r="CF180" s="320">
        <f t="shared" si="162"/>
        <v>0</v>
      </c>
      <c r="CG180" s="320">
        <f t="shared" si="163"/>
        <v>0</v>
      </c>
      <c r="CH180" s="427"/>
      <c r="CI180" s="427"/>
      <c r="CJ180" s="427"/>
      <c r="CK180" s="427"/>
      <c r="CL180" s="320">
        <f t="shared" si="178"/>
        <v>0</v>
      </c>
      <c r="CM180" s="320">
        <f t="shared" si="164"/>
        <v>0</v>
      </c>
      <c r="CN180" s="320">
        <f t="shared" si="165"/>
        <v>0</v>
      </c>
      <c r="CO180" s="320">
        <f t="shared" si="204"/>
        <v>0</v>
      </c>
      <c r="CP180" s="427"/>
      <c r="CQ180" s="427"/>
      <c r="CR180" s="320">
        <f t="shared" si="167"/>
        <v>0</v>
      </c>
      <c r="CS180" s="320">
        <f t="shared" si="176"/>
        <v>0</v>
      </c>
      <c r="CT180" s="320">
        <f t="shared" si="200"/>
        <v>0</v>
      </c>
      <c r="CU180" s="320">
        <f t="shared" si="201"/>
        <v>0</v>
      </c>
      <c r="CV180" s="427">
        <v>0</v>
      </c>
      <c r="CW180" s="17">
        <v>0</v>
      </c>
      <c r="CX180" s="320">
        <f t="shared" si="202"/>
        <v>0</v>
      </c>
      <c r="CY180" s="320">
        <f t="shared" si="168"/>
        <v>0</v>
      </c>
      <c r="CZ180" s="320">
        <f t="shared" si="169"/>
        <v>0</v>
      </c>
      <c r="DA180" s="17">
        <v>0</v>
      </c>
      <c r="DB180" s="17"/>
      <c r="DC180" s="17">
        <v>0</v>
      </c>
      <c r="DD180" s="31"/>
      <c r="DE180" s="352" t="s">
        <v>388</v>
      </c>
      <c r="DF180" s="352" t="s">
        <v>388</v>
      </c>
      <c r="DG180" s="352" t="s">
        <v>388</v>
      </c>
      <c r="DH180" s="352" t="s">
        <v>388</v>
      </c>
      <c r="DI180" s="346" t="s">
        <v>388</v>
      </c>
      <c r="DJ180" s="352" t="s">
        <v>388</v>
      </c>
      <c r="DK180" s="352" t="s">
        <v>388</v>
      </c>
      <c r="DL180" s="352" t="s">
        <v>388</v>
      </c>
      <c r="DM180" s="352" t="s">
        <v>388</v>
      </c>
      <c r="DN180" s="352" t="s">
        <v>388</v>
      </c>
      <c r="DO180" s="352" t="s">
        <v>388</v>
      </c>
      <c r="DP180" s="353">
        <v>1</v>
      </c>
      <c r="DQ180" s="381"/>
      <c r="DR180" s="239">
        <f>SUM(DS180:DX180)/6</f>
        <v>0</v>
      </c>
      <c r="DS180" s="429">
        <f t="shared" si="170"/>
        <v>0</v>
      </c>
      <c r="DT180" s="429">
        <f>SUM(BA180:BE180,BG180)/5</f>
        <v>0</v>
      </c>
      <c r="DU180" s="429">
        <f>SUM(BI180,BO180,BS180,BU180:BW180)/6</f>
        <v>0</v>
      </c>
      <c r="DV180" s="429">
        <f>SUM(BY180-CB180,CD180-CG180)/8</f>
        <v>0</v>
      </c>
      <c r="DW180" s="429">
        <f>SUM(CH180:CJ180,CL180:CO180,BN180,BR180)/9</f>
        <v>0</v>
      </c>
      <c r="DX180" s="429">
        <f>SUM(CP180,CR180:CV180)/6</f>
        <v>0</v>
      </c>
      <c r="DY180" s="474"/>
      <c r="DZ180" s="196"/>
      <c r="EA180" s="196"/>
      <c r="EB180" s="196"/>
      <c r="EC180" s="196"/>
      <c r="ED180" s="197"/>
      <c r="EH180" s="44">
        <v>0</v>
      </c>
      <c r="EI180" s="45"/>
      <c r="EJ180" s="33" t="b">
        <f t="shared" si="171"/>
        <v>0</v>
      </c>
      <c r="EK180" s="42"/>
      <c r="EL180" s="42"/>
      <c r="EM180" s="42"/>
      <c r="EN180" s="439"/>
      <c r="EO180" s="439"/>
      <c r="EP180" s="439"/>
      <c r="EQ180" s="38"/>
      <c r="ER180" s="431"/>
      <c r="ES180" s="440"/>
      <c r="ET180" s="431"/>
      <c r="EU180" s="440"/>
      <c r="EV180" s="440"/>
      <c r="EZ180" s="393" t="s">
        <v>1320</v>
      </c>
      <c r="FA180" s="393" t="s">
        <v>1320</v>
      </c>
      <c r="FB180" s="389">
        <v>372</v>
      </c>
      <c r="FC180" s="389">
        <v>432</v>
      </c>
      <c r="FD180" s="389">
        <v>461</v>
      </c>
      <c r="FE180" s="389">
        <v>491</v>
      </c>
      <c r="FF180" s="389">
        <v>491</v>
      </c>
      <c r="FG180" s="390">
        <v>1.3425925925925928E-2</v>
      </c>
      <c r="FH180" s="390">
        <v>1.3015184381778741E-2</v>
      </c>
      <c r="FI180" s="390">
        <v>0</v>
      </c>
      <c r="FJ180" s="391" t="s">
        <v>1389</v>
      </c>
      <c r="FK180" s="391">
        <v>-1</v>
      </c>
      <c r="FL180" s="31" t="s">
        <v>1394</v>
      </c>
      <c r="FN180" s="215" t="s">
        <v>1730</v>
      </c>
      <c r="FO180" s="215" t="s">
        <v>1731</v>
      </c>
      <c r="FP180" s="215" t="s">
        <v>1345</v>
      </c>
      <c r="FR180" s="402">
        <v>1</v>
      </c>
      <c r="FS180" s="402">
        <v>0</v>
      </c>
      <c r="FT180" s="402">
        <v>0</v>
      </c>
      <c r="FU180" s="402">
        <v>1</v>
      </c>
    </row>
    <row r="181" spans="1:177" ht="22" hidden="1" customHeight="1" x14ac:dyDescent="0.2">
      <c r="A181" s="13" t="s">
        <v>4</v>
      </c>
      <c r="B181" s="23" t="s">
        <v>118</v>
      </c>
      <c r="C181" s="23"/>
      <c r="D181" s="23"/>
      <c r="E181" s="128" t="s">
        <v>195</v>
      </c>
      <c r="F181" s="15"/>
      <c r="G181" s="15" t="s">
        <v>634</v>
      </c>
      <c r="H181" s="91">
        <f t="shared" si="205"/>
        <v>1</v>
      </c>
      <c r="I181" s="95">
        <f t="shared" si="203"/>
        <v>0</v>
      </c>
      <c r="J181" s="91"/>
      <c r="K181" s="256">
        <f t="shared" si="137"/>
        <v>1</v>
      </c>
      <c r="L181" s="101">
        <v>0</v>
      </c>
      <c r="M181" s="99"/>
      <c r="N181" s="89"/>
      <c r="O181" s="98" t="str">
        <f t="shared" si="136"/>
        <v>_x000D__x000D_</v>
      </c>
      <c r="P181" s="98"/>
      <c r="Q181" s="55"/>
      <c r="R181" s="64" t="s">
        <v>918</v>
      </c>
      <c r="S181" s="425"/>
      <c r="T181" s="300" t="s">
        <v>834</v>
      </c>
      <c r="U181" s="300" t="s">
        <v>834</v>
      </c>
      <c r="V181" s="300" t="s">
        <v>834</v>
      </c>
      <c r="W181" s="258"/>
      <c r="X181" s="307" t="s">
        <v>834</v>
      </c>
      <c r="Y181" s="274"/>
      <c r="Z181" s="426"/>
      <c r="AA181" s="320">
        <f t="shared" si="182"/>
        <v>0</v>
      </c>
      <c r="AB181" s="320">
        <f t="shared" si="183"/>
        <v>0</v>
      </c>
      <c r="AC181" s="320">
        <f t="shared" si="184"/>
        <v>0</v>
      </c>
      <c r="AD181" s="320">
        <f t="shared" si="185"/>
        <v>0</v>
      </c>
      <c r="AE181" s="320">
        <f t="shared" si="186"/>
        <v>0</v>
      </c>
      <c r="AF181" s="320">
        <f t="shared" si="187"/>
        <v>0</v>
      </c>
      <c r="AG181" s="320">
        <f t="shared" si="188"/>
        <v>0</v>
      </c>
      <c r="AH181" s="427"/>
      <c r="AI181" s="320">
        <f t="shared" si="189"/>
        <v>0</v>
      </c>
      <c r="AJ181" s="320">
        <f t="shared" si="190"/>
        <v>0</v>
      </c>
      <c r="AK181" s="320">
        <f t="shared" si="191"/>
        <v>0</v>
      </c>
      <c r="AL181" s="320">
        <f t="shared" si="192"/>
        <v>0</v>
      </c>
      <c r="AM181" s="320">
        <f t="shared" si="193"/>
        <v>0</v>
      </c>
      <c r="AN181" s="320">
        <f t="shared" si="194"/>
        <v>0</v>
      </c>
      <c r="AO181" s="427"/>
      <c r="AP181" s="320">
        <f t="shared" si="173"/>
        <v>0</v>
      </c>
      <c r="AQ181" s="320">
        <f t="shared" si="148"/>
        <v>0</v>
      </c>
      <c r="AR181" s="320">
        <f t="shared" si="149"/>
        <v>0</v>
      </c>
      <c r="AS181" s="320">
        <f t="shared" si="150"/>
        <v>0</v>
      </c>
      <c r="AT181" s="320">
        <f t="shared" si="151"/>
        <v>0</v>
      </c>
      <c r="AU181" s="320">
        <f t="shared" si="152"/>
        <v>0</v>
      </c>
      <c r="AV181" s="427"/>
      <c r="AW181" s="320">
        <f t="shared" si="153"/>
        <v>0</v>
      </c>
      <c r="AX181" s="320">
        <f t="shared" si="154"/>
        <v>0</v>
      </c>
      <c r="AY181" s="320">
        <f t="shared" si="155"/>
        <v>0</v>
      </c>
      <c r="AZ181" s="320">
        <f t="shared" si="156"/>
        <v>0</v>
      </c>
      <c r="BA181" s="17"/>
      <c r="BB181" s="17" t="s">
        <v>834</v>
      </c>
      <c r="BC181" s="17"/>
      <c r="BD181" s="17"/>
      <c r="BE181" s="17"/>
      <c r="BF181" s="17"/>
      <c r="BG181" s="428">
        <f t="shared" si="195"/>
        <v>0</v>
      </c>
      <c r="BH181" s="17"/>
      <c r="BI181" s="17"/>
      <c r="BJ181" s="17"/>
      <c r="BK181" s="17"/>
      <c r="BL181" s="17"/>
      <c r="BM181" s="17"/>
      <c r="BN181" s="320">
        <f t="shared" si="196"/>
        <v>0</v>
      </c>
      <c r="BO181" s="320">
        <f t="shared" si="197"/>
        <v>0</v>
      </c>
      <c r="BP181" s="427"/>
      <c r="BQ181" s="427"/>
      <c r="BR181" s="320">
        <f t="shared" ref="BR181:BS203" si="207">IF(ISNUMBER(SEARCH("1",$BP181)),1,0)</f>
        <v>0</v>
      </c>
      <c r="BS181" s="320">
        <f t="shared" si="207"/>
        <v>0</v>
      </c>
      <c r="BT181" s="427"/>
      <c r="BU181" s="320">
        <f t="shared" si="198"/>
        <v>0</v>
      </c>
      <c r="BV181" s="320">
        <f t="shared" si="158"/>
        <v>0</v>
      </c>
      <c r="BW181" s="320">
        <f t="shared" si="175"/>
        <v>0</v>
      </c>
      <c r="BX181" s="427"/>
      <c r="BY181" s="320">
        <f t="shared" ref="BY181:BY203" si="208">IF(ISNUMBER(SEARCH("1",$BX181)),1,0)</f>
        <v>0</v>
      </c>
      <c r="BZ181" s="320">
        <f t="shared" si="159"/>
        <v>0</v>
      </c>
      <c r="CA181" s="320">
        <f t="shared" si="206"/>
        <v>0</v>
      </c>
      <c r="CB181" s="320">
        <f t="shared" ref="CB181:CB203" si="209">IF(ISNUMBER(SEARCH("s",$BX181)),1,0)</f>
        <v>0</v>
      </c>
      <c r="CC181" s="427"/>
      <c r="CD181" s="320">
        <f t="shared" si="160"/>
        <v>0</v>
      </c>
      <c r="CE181" s="320">
        <f t="shared" si="161"/>
        <v>0</v>
      </c>
      <c r="CF181" s="320">
        <f t="shared" si="162"/>
        <v>0</v>
      </c>
      <c r="CG181" s="320">
        <f t="shared" si="163"/>
        <v>0</v>
      </c>
      <c r="CH181" s="427"/>
      <c r="CI181" s="427"/>
      <c r="CJ181" s="427"/>
      <c r="CK181" s="427"/>
      <c r="CL181" s="320">
        <f t="shared" si="178"/>
        <v>0</v>
      </c>
      <c r="CM181" s="320">
        <f t="shared" si="164"/>
        <v>0</v>
      </c>
      <c r="CN181" s="320">
        <f t="shared" si="165"/>
        <v>0</v>
      </c>
      <c r="CO181" s="320">
        <f t="shared" si="204"/>
        <v>0</v>
      </c>
      <c r="CP181" s="427"/>
      <c r="CQ181" s="427"/>
      <c r="CR181" s="320">
        <f t="shared" si="167"/>
        <v>0</v>
      </c>
      <c r="CS181" s="320">
        <f t="shared" si="176"/>
        <v>0</v>
      </c>
      <c r="CT181" s="320">
        <f t="shared" si="200"/>
        <v>0</v>
      </c>
      <c r="CU181" s="320">
        <f t="shared" si="201"/>
        <v>0</v>
      </c>
      <c r="CV181" s="427"/>
      <c r="CW181" s="17"/>
      <c r="CX181" s="320">
        <f t="shared" si="202"/>
        <v>0</v>
      </c>
      <c r="CY181" s="320">
        <f t="shared" si="168"/>
        <v>0</v>
      </c>
      <c r="CZ181" s="320">
        <f t="shared" si="169"/>
        <v>0</v>
      </c>
      <c r="DA181" s="17"/>
      <c r="DB181" s="17"/>
      <c r="DC181" s="17"/>
      <c r="DD181" s="31"/>
      <c r="DE181" s="323"/>
      <c r="DF181" s="323"/>
      <c r="DG181" s="323"/>
      <c r="DH181" s="323"/>
      <c r="DI181" s="323"/>
      <c r="DJ181" s="323"/>
      <c r="DK181" s="323"/>
      <c r="DL181" s="323"/>
      <c r="DM181" s="323"/>
      <c r="DN181" s="323"/>
      <c r="DO181" s="323"/>
      <c r="DP181" s="324"/>
      <c r="DQ181" s="288"/>
      <c r="DR181" s="242"/>
      <c r="DS181" s="429">
        <f t="shared" si="170"/>
        <v>0</v>
      </c>
      <c r="DT181" s="429"/>
      <c r="DU181" s="429"/>
      <c r="DV181" s="429"/>
      <c r="DW181" s="429"/>
      <c r="DX181" s="429"/>
      <c r="DY181" s="429"/>
      <c r="DZ181" s="134"/>
      <c r="EA181" s="134"/>
      <c r="EB181" s="134"/>
      <c r="EC181" s="134"/>
      <c r="ED181" s="123"/>
      <c r="EH181" s="44"/>
      <c r="EI181" s="45"/>
      <c r="EJ181" s="33" t="b">
        <f t="shared" si="171"/>
        <v>0</v>
      </c>
      <c r="EK181" s="42"/>
      <c r="EL181" s="42"/>
      <c r="EM181" s="42"/>
      <c r="EN181" s="439"/>
      <c r="EO181" s="439"/>
      <c r="EP181" s="439"/>
      <c r="EQ181" s="38"/>
      <c r="ER181" s="431"/>
      <c r="ES181" s="440"/>
      <c r="ET181" s="431"/>
      <c r="EU181" s="440"/>
      <c r="EV181" s="440"/>
      <c r="EZ181" s="393" t="s">
        <v>195</v>
      </c>
      <c r="FA181" s="393" t="s">
        <v>195</v>
      </c>
      <c r="FB181" s="389">
        <v>408</v>
      </c>
      <c r="FC181" s="389">
        <v>410</v>
      </c>
      <c r="FD181" s="389">
        <v>410</v>
      </c>
      <c r="FE181" s="389">
        <v>410</v>
      </c>
      <c r="FF181" s="389">
        <v>412</v>
      </c>
      <c r="FG181" s="390">
        <v>0</v>
      </c>
      <c r="FH181" s="390">
        <v>0</v>
      </c>
      <c r="FI181" s="390">
        <v>9.7560975609756097E-4</v>
      </c>
      <c r="FJ181" s="391">
        <v>0</v>
      </c>
      <c r="FK181" s="391" t="s">
        <v>1386</v>
      </c>
      <c r="FL181" s="31" t="s">
        <v>1387</v>
      </c>
      <c r="FN181" s="128" t="s">
        <v>1732</v>
      </c>
      <c r="FO181" s="128" t="s">
        <v>1733</v>
      </c>
      <c r="FP181" s="128"/>
    </row>
    <row r="182" spans="1:177" ht="22" hidden="1" customHeight="1" x14ac:dyDescent="0.2">
      <c r="A182" s="13" t="s">
        <v>4</v>
      </c>
      <c r="B182" s="14" t="s">
        <v>47</v>
      </c>
      <c r="C182" s="9" t="s">
        <v>1057</v>
      </c>
      <c r="D182" s="14" t="s">
        <v>1068</v>
      </c>
      <c r="E182" s="128" t="s">
        <v>196</v>
      </c>
      <c r="F182" s="15" t="s">
        <v>638</v>
      </c>
      <c r="G182" s="15" t="s">
        <v>634</v>
      </c>
      <c r="H182" s="91">
        <f t="shared" si="205"/>
        <v>1</v>
      </c>
      <c r="I182" s="95">
        <f t="shared" si="203"/>
        <v>0</v>
      </c>
      <c r="J182" s="91"/>
      <c r="K182" s="256">
        <f t="shared" si="137"/>
        <v>1</v>
      </c>
      <c r="L182" s="101">
        <v>0</v>
      </c>
      <c r="M182" s="99"/>
      <c r="N182" s="89"/>
      <c r="O182" s="98" t="str">
        <f t="shared" si="136"/>
        <v>_x000D__x000D_</v>
      </c>
      <c r="P182" s="144" t="str">
        <f>CONCATENATE(V182,R182,X182)</f>
        <v xml:space="preserve"> _x000D__x000D_Thailand’s prioritized adaptation efforts include: _x000D_• Promote and strengthen Integrated Water Resources Management (IWRM) practices to achieve water security, effective water resource management to mitigate flood and drought _x000D_• Promote sustainable agriculture and Good Agricultural Practice (GAP) _x000D_• Increase national forest cover to 40% through local community participation, including in particular headwater and mangrove forests to enhance adaptive capacities of related ecosystem _x000D_• Safeguard biodiversity and restore ecological integrity in protected areas and important landscapes from the adverse impacts of climate change, with the emphasis on vulnerable ecosystems and red list species </v>
      </c>
      <c r="Q182" s="217"/>
      <c r="R182" s="64" t="s">
        <v>918</v>
      </c>
      <c r="S182" s="492"/>
      <c r="T182" s="300" t="s">
        <v>1004</v>
      </c>
      <c r="U182" s="300" t="s">
        <v>1005</v>
      </c>
      <c r="V182" s="300" t="s">
        <v>924</v>
      </c>
      <c r="W182" s="258"/>
      <c r="X182" s="308" t="s">
        <v>936</v>
      </c>
      <c r="Y182" s="297"/>
      <c r="Z182" s="426" t="s">
        <v>317</v>
      </c>
      <c r="AA182" s="320">
        <f t="shared" si="182"/>
        <v>1</v>
      </c>
      <c r="AB182" s="320">
        <f t="shared" si="183"/>
        <v>0</v>
      </c>
      <c r="AC182" s="320">
        <f t="shared" si="184"/>
        <v>1</v>
      </c>
      <c r="AD182" s="320">
        <f t="shared" si="185"/>
        <v>0</v>
      </c>
      <c r="AE182" s="320">
        <f t="shared" si="186"/>
        <v>0</v>
      </c>
      <c r="AF182" s="320">
        <f t="shared" si="187"/>
        <v>0</v>
      </c>
      <c r="AG182" s="320">
        <f t="shared" si="188"/>
        <v>0</v>
      </c>
      <c r="AH182" s="427" t="s">
        <v>315</v>
      </c>
      <c r="AI182" s="320">
        <f t="shared" si="189"/>
        <v>1</v>
      </c>
      <c r="AJ182" s="320">
        <f t="shared" si="190"/>
        <v>0</v>
      </c>
      <c r="AK182" s="320">
        <f t="shared" si="191"/>
        <v>0</v>
      </c>
      <c r="AL182" s="320">
        <f t="shared" si="192"/>
        <v>0</v>
      </c>
      <c r="AM182" s="320">
        <f t="shared" si="193"/>
        <v>1</v>
      </c>
      <c r="AN182" s="320">
        <f t="shared" si="194"/>
        <v>0</v>
      </c>
      <c r="AO182" s="427">
        <v>0</v>
      </c>
      <c r="AP182" s="320">
        <f t="shared" si="173"/>
        <v>0</v>
      </c>
      <c r="AQ182" s="320">
        <f t="shared" si="148"/>
        <v>0</v>
      </c>
      <c r="AR182" s="320">
        <f t="shared" si="149"/>
        <v>0</v>
      </c>
      <c r="AS182" s="320">
        <f t="shared" si="150"/>
        <v>0</v>
      </c>
      <c r="AT182" s="320">
        <f t="shared" si="151"/>
        <v>0</v>
      </c>
      <c r="AU182" s="320">
        <f t="shared" si="152"/>
        <v>0</v>
      </c>
      <c r="AV182" s="427">
        <v>1</v>
      </c>
      <c r="AW182" s="320">
        <f t="shared" si="153"/>
        <v>1</v>
      </c>
      <c r="AX182" s="320">
        <f t="shared" si="154"/>
        <v>0</v>
      </c>
      <c r="AY182" s="320">
        <f t="shared" si="155"/>
        <v>0</v>
      </c>
      <c r="AZ182" s="320">
        <f t="shared" si="156"/>
        <v>0</v>
      </c>
      <c r="BA182" s="17">
        <v>1</v>
      </c>
      <c r="BB182" s="17" t="s">
        <v>1273</v>
      </c>
      <c r="BC182" s="17">
        <v>0</v>
      </c>
      <c r="BD182" s="17">
        <v>1</v>
      </c>
      <c r="BE182" s="17">
        <v>0</v>
      </c>
      <c r="BF182" s="17" t="s">
        <v>315</v>
      </c>
      <c r="BG182" s="428">
        <f t="shared" si="195"/>
        <v>1</v>
      </c>
      <c r="BH182" s="17">
        <v>0</v>
      </c>
      <c r="BI182" s="17">
        <v>1</v>
      </c>
      <c r="BJ182" s="17" t="s">
        <v>1212</v>
      </c>
      <c r="BK182" s="17"/>
      <c r="BL182" s="17">
        <v>1</v>
      </c>
      <c r="BM182" s="17" t="s">
        <v>1213</v>
      </c>
      <c r="BN182" s="320">
        <f t="shared" si="196"/>
        <v>1</v>
      </c>
      <c r="BO182" s="320">
        <f t="shared" si="197"/>
        <v>0</v>
      </c>
      <c r="BP182" s="427">
        <v>1</v>
      </c>
      <c r="BQ182" s="427" t="s">
        <v>1214</v>
      </c>
      <c r="BR182" s="320">
        <f t="shared" si="207"/>
        <v>1</v>
      </c>
      <c r="BS182" s="320">
        <f>IF(ISNUMBER(SEARCH("t",$BP182)),1,0)</f>
        <v>0</v>
      </c>
      <c r="BT182" s="427">
        <v>1</v>
      </c>
      <c r="BU182" s="320">
        <f t="shared" si="198"/>
        <v>1</v>
      </c>
      <c r="BV182" s="320">
        <f t="shared" si="158"/>
        <v>0</v>
      </c>
      <c r="BW182" s="320">
        <f t="shared" si="175"/>
        <v>0</v>
      </c>
      <c r="BX182" s="427">
        <v>1</v>
      </c>
      <c r="BY182" s="320">
        <f t="shared" si="208"/>
        <v>1</v>
      </c>
      <c r="BZ182" s="320">
        <f t="shared" si="159"/>
        <v>0</v>
      </c>
      <c r="CA182" s="320">
        <f t="shared" si="206"/>
        <v>0</v>
      </c>
      <c r="CB182" s="320">
        <f t="shared" si="209"/>
        <v>0</v>
      </c>
      <c r="CC182" s="427" t="s">
        <v>317</v>
      </c>
      <c r="CD182" s="320">
        <f t="shared" si="160"/>
        <v>1</v>
      </c>
      <c r="CE182" s="320">
        <f t="shared" si="161"/>
        <v>1</v>
      </c>
      <c r="CF182" s="320">
        <f t="shared" si="162"/>
        <v>0</v>
      </c>
      <c r="CG182" s="320">
        <f t="shared" si="163"/>
        <v>0</v>
      </c>
      <c r="CH182" s="427">
        <v>0</v>
      </c>
      <c r="CI182" s="427">
        <v>0</v>
      </c>
      <c r="CJ182" s="427">
        <v>0</v>
      </c>
      <c r="CK182" s="427">
        <v>0</v>
      </c>
      <c r="CL182" s="320">
        <f t="shared" si="178"/>
        <v>0</v>
      </c>
      <c r="CM182" s="320">
        <f t="shared" si="164"/>
        <v>0</v>
      </c>
      <c r="CN182" s="320">
        <f t="shared" si="165"/>
        <v>0</v>
      </c>
      <c r="CO182" s="320">
        <f t="shared" si="204"/>
        <v>0</v>
      </c>
      <c r="CP182" s="427">
        <v>1</v>
      </c>
      <c r="CQ182" s="427" t="s">
        <v>317</v>
      </c>
      <c r="CR182" s="320">
        <f t="shared" si="167"/>
        <v>1</v>
      </c>
      <c r="CS182" s="320">
        <f t="shared" si="176"/>
        <v>0</v>
      </c>
      <c r="CT182" s="320">
        <f t="shared" si="200"/>
        <v>1</v>
      </c>
      <c r="CU182" s="320">
        <f t="shared" si="201"/>
        <v>0</v>
      </c>
      <c r="CV182" s="427">
        <v>1</v>
      </c>
      <c r="CW182" s="17" t="s">
        <v>325</v>
      </c>
      <c r="CX182" s="320">
        <f t="shared" si="202"/>
        <v>0</v>
      </c>
      <c r="CY182" s="320">
        <f t="shared" si="168"/>
        <v>0</v>
      </c>
      <c r="CZ182" s="320">
        <f t="shared" si="169"/>
        <v>1</v>
      </c>
      <c r="DA182" s="17">
        <v>0</v>
      </c>
      <c r="DB182" s="17">
        <v>0</v>
      </c>
      <c r="DC182" s="17">
        <v>0</v>
      </c>
      <c r="DD182" s="31"/>
      <c r="DE182" s="321" t="s">
        <v>387</v>
      </c>
      <c r="DF182" s="321"/>
      <c r="DG182" s="321"/>
      <c r="DH182" s="321" t="s">
        <v>387</v>
      </c>
      <c r="DI182" s="321"/>
      <c r="DJ182" s="321"/>
      <c r="DK182" s="321"/>
      <c r="DL182" s="321"/>
      <c r="DM182" s="321" t="s">
        <v>496</v>
      </c>
      <c r="DN182" s="321"/>
      <c r="DO182" s="321"/>
      <c r="DP182" s="322"/>
      <c r="DQ182" s="288"/>
      <c r="DR182" s="239">
        <f>SUM(DS182:DX182)/6</f>
        <v>0.38160225442834134</v>
      </c>
      <c r="DS182" s="429">
        <f t="shared" si="170"/>
        <v>0.21739130434782608</v>
      </c>
      <c r="DT182" s="429">
        <f>SUM(BA182:BE182,BG182)/5</f>
        <v>0.6</v>
      </c>
      <c r="DU182" s="429">
        <f>SUM(BI182,BO182,BS182,BU182:BW182)/6</f>
        <v>0.33333333333333331</v>
      </c>
      <c r="DV182" s="429">
        <f>SUM(BY182-CB182,CD182-CG182)/8</f>
        <v>0.25</v>
      </c>
      <c r="DW182" s="429">
        <f>SUM(CH182:CJ182,CL182:CO182,BN182,BR182)/9</f>
        <v>0.22222222222222221</v>
      </c>
      <c r="DX182" s="429">
        <f>SUM(CP182,CR182:CV182)/6</f>
        <v>0.66666666666666663</v>
      </c>
      <c r="DY182" s="429"/>
      <c r="DZ182" s="137"/>
      <c r="EA182" s="135"/>
      <c r="EB182" s="135"/>
      <c r="EC182" s="135"/>
      <c r="ED182" s="124"/>
      <c r="EH182" s="44"/>
      <c r="EI182" s="45"/>
      <c r="EJ182" s="33" t="b">
        <f t="shared" si="171"/>
        <v>0</v>
      </c>
      <c r="EK182" s="42"/>
      <c r="EL182" s="42"/>
      <c r="EM182" s="42"/>
      <c r="EN182" s="439"/>
      <c r="EO182" s="439"/>
      <c r="EP182" s="439"/>
      <c r="EQ182" s="38"/>
      <c r="ER182" s="431"/>
      <c r="ES182" s="440"/>
      <c r="ET182" s="431"/>
      <c r="EU182" s="440"/>
      <c r="EV182" s="440"/>
      <c r="EZ182" s="393" t="s">
        <v>196</v>
      </c>
      <c r="FA182" s="393" t="s">
        <v>196</v>
      </c>
      <c r="FB182" s="389">
        <v>14005</v>
      </c>
      <c r="FC182" s="389">
        <v>17011</v>
      </c>
      <c r="FD182" s="389">
        <v>16100</v>
      </c>
      <c r="FE182" s="389">
        <v>16249</v>
      </c>
      <c r="FF182" s="389">
        <v>16399</v>
      </c>
      <c r="FG182" s="390">
        <v>-1.0710716595144318E-2</v>
      </c>
      <c r="FH182" s="390">
        <v>1.8509316770186335E-3</v>
      </c>
      <c r="FI182" s="390">
        <v>1.8462674626130841E-3</v>
      </c>
      <c r="FJ182" s="391" t="s">
        <v>1389</v>
      </c>
      <c r="FK182" s="391">
        <v>-2.5199279170921513E-3</v>
      </c>
      <c r="FL182" s="31" t="s">
        <v>1394</v>
      </c>
      <c r="FN182" s="128" t="s">
        <v>1734</v>
      </c>
      <c r="FO182" s="128" t="s">
        <v>1735</v>
      </c>
      <c r="FP182" s="128"/>
    </row>
    <row r="183" spans="1:177" ht="22" hidden="1" customHeight="1" x14ac:dyDescent="0.2">
      <c r="A183" s="13" t="s">
        <v>4</v>
      </c>
      <c r="B183" s="14" t="s">
        <v>47</v>
      </c>
      <c r="C183" s="14"/>
      <c r="D183" s="14" t="s">
        <v>1068</v>
      </c>
      <c r="E183" s="128" t="s">
        <v>197</v>
      </c>
      <c r="F183" s="15" t="s">
        <v>638</v>
      </c>
      <c r="G183" s="15" t="s">
        <v>635</v>
      </c>
      <c r="H183" s="91">
        <f t="shared" si="205"/>
        <v>0</v>
      </c>
      <c r="I183" s="95">
        <f t="shared" si="203"/>
        <v>0</v>
      </c>
      <c r="J183" s="91"/>
      <c r="K183" s="256">
        <f t="shared" si="137"/>
        <v>0</v>
      </c>
      <c r="L183" s="101">
        <v>0</v>
      </c>
      <c r="M183" s="99"/>
      <c r="N183" s="89"/>
      <c r="O183" s="98" t="str">
        <f t="shared" si="136"/>
        <v>_x000D__x000D_</v>
      </c>
      <c r="P183" s="98" t="str">
        <f>CONCATENATE(V183,R183,X183)</f>
        <v xml:space="preserve">N/A or not found_x000D__x000D_ </v>
      </c>
      <c r="Q183" s="217"/>
      <c r="R183" s="64" t="s">
        <v>918</v>
      </c>
      <c r="S183" s="492"/>
      <c r="T183" s="300" t="s">
        <v>1006</v>
      </c>
      <c r="U183" s="300" t="s">
        <v>1008</v>
      </c>
      <c r="V183" s="300" t="s">
        <v>925</v>
      </c>
      <c r="W183" s="258"/>
      <c r="X183" s="307" t="s">
        <v>924</v>
      </c>
      <c r="Y183" s="274"/>
      <c r="Z183" s="426" t="s">
        <v>221</v>
      </c>
      <c r="AA183" s="320">
        <f t="shared" si="182"/>
        <v>1</v>
      </c>
      <c r="AB183" s="320">
        <f t="shared" si="183"/>
        <v>1</v>
      </c>
      <c r="AC183" s="320">
        <f t="shared" si="184"/>
        <v>0</v>
      </c>
      <c r="AD183" s="320">
        <f t="shared" si="185"/>
        <v>0</v>
      </c>
      <c r="AE183" s="320">
        <f t="shared" si="186"/>
        <v>0</v>
      </c>
      <c r="AF183" s="320">
        <f t="shared" si="187"/>
        <v>0</v>
      </c>
      <c r="AG183" s="320">
        <f t="shared" si="188"/>
        <v>1</v>
      </c>
      <c r="AH183" s="427">
        <v>1</v>
      </c>
      <c r="AI183" s="320">
        <f t="shared" si="189"/>
        <v>1</v>
      </c>
      <c r="AJ183" s="320">
        <f t="shared" si="190"/>
        <v>0</v>
      </c>
      <c r="AK183" s="320">
        <f t="shared" si="191"/>
        <v>0</v>
      </c>
      <c r="AL183" s="320">
        <f t="shared" si="192"/>
        <v>0</v>
      </c>
      <c r="AM183" s="320">
        <f t="shared" si="193"/>
        <v>0</v>
      </c>
      <c r="AN183" s="320">
        <f t="shared" si="194"/>
        <v>0</v>
      </c>
      <c r="AO183" s="427" t="s">
        <v>221</v>
      </c>
      <c r="AP183" s="320">
        <f t="shared" si="173"/>
        <v>1</v>
      </c>
      <c r="AQ183" s="320">
        <f t="shared" si="148"/>
        <v>1</v>
      </c>
      <c r="AR183" s="320">
        <f t="shared" si="149"/>
        <v>0</v>
      </c>
      <c r="AS183" s="320">
        <f t="shared" si="150"/>
        <v>0</v>
      </c>
      <c r="AT183" s="320">
        <f t="shared" si="151"/>
        <v>0</v>
      </c>
      <c r="AU183" s="320">
        <f t="shared" si="152"/>
        <v>0</v>
      </c>
      <c r="AV183" s="427">
        <v>1</v>
      </c>
      <c r="AW183" s="320">
        <f t="shared" si="153"/>
        <v>1</v>
      </c>
      <c r="AX183" s="320">
        <f t="shared" si="154"/>
        <v>0</v>
      </c>
      <c r="AY183" s="320">
        <f t="shared" si="155"/>
        <v>0</v>
      </c>
      <c r="AZ183" s="320">
        <f t="shared" si="156"/>
        <v>0</v>
      </c>
      <c r="BA183" s="17">
        <v>1</v>
      </c>
      <c r="BB183" s="17" t="s">
        <v>1270</v>
      </c>
      <c r="BC183" s="17">
        <v>0</v>
      </c>
      <c r="BD183" s="17">
        <v>1</v>
      </c>
      <c r="BE183" s="17">
        <v>0</v>
      </c>
      <c r="BF183" s="17" t="s">
        <v>315</v>
      </c>
      <c r="BG183" s="428">
        <f t="shared" si="195"/>
        <v>1</v>
      </c>
      <c r="BH183" s="17">
        <v>1</v>
      </c>
      <c r="BI183" s="17">
        <v>1</v>
      </c>
      <c r="BJ183" s="17" t="s">
        <v>1205</v>
      </c>
      <c r="BK183" s="17"/>
      <c r="BL183" s="17">
        <v>1</v>
      </c>
      <c r="BM183" s="17" t="s">
        <v>1206</v>
      </c>
      <c r="BN183" s="320">
        <f t="shared" si="196"/>
        <v>1</v>
      </c>
      <c r="BO183" s="320">
        <f t="shared" si="197"/>
        <v>0</v>
      </c>
      <c r="BP183" s="427">
        <v>1</v>
      </c>
      <c r="BQ183" s="427" t="s">
        <v>1207</v>
      </c>
      <c r="BR183" s="320">
        <f t="shared" si="207"/>
        <v>1</v>
      </c>
      <c r="BS183" s="320">
        <f>IF(ISNUMBER(SEARCH("t",$BP183)),1,0)</f>
        <v>0</v>
      </c>
      <c r="BT183" s="427">
        <v>0</v>
      </c>
      <c r="BU183" s="320">
        <f t="shared" si="198"/>
        <v>0</v>
      </c>
      <c r="BV183" s="320">
        <f t="shared" si="158"/>
        <v>0</v>
      </c>
      <c r="BW183" s="320">
        <f t="shared" si="175"/>
        <v>0</v>
      </c>
      <c r="BX183" s="427" t="s">
        <v>315</v>
      </c>
      <c r="BY183" s="320">
        <f t="shared" si="208"/>
        <v>1</v>
      </c>
      <c r="BZ183" s="320">
        <f t="shared" si="159"/>
        <v>0</v>
      </c>
      <c r="CA183" s="320">
        <f t="shared" si="206"/>
        <v>1</v>
      </c>
      <c r="CB183" s="320">
        <f t="shared" si="209"/>
        <v>0</v>
      </c>
      <c r="CC183" s="427">
        <v>1</v>
      </c>
      <c r="CD183" s="320">
        <f t="shared" si="160"/>
        <v>1</v>
      </c>
      <c r="CE183" s="320">
        <f t="shared" si="161"/>
        <v>0</v>
      </c>
      <c r="CF183" s="320">
        <f t="shared" si="162"/>
        <v>0</v>
      </c>
      <c r="CG183" s="320">
        <f t="shared" si="163"/>
        <v>0</v>
      </c>
      <c r="CH183" s="427">
        <v>0</v>
      </c>
      <c r="CI183" s="427">
        <v>0</v>
      </c>
      <c r="CJ183" s="427">
        <v>0</v>
      </c>
      <c r="CK183" s="427">
        <v>1</v>
      </c>
      <c r="CL183" s="320">
        <f t="shared" si="178"/>
        <v>1</v>
      </c>
      <c r="CM183" s="320">
        <f t="shared" si="164"/>
        <v>0</v>
      </c>
      <c r="CN183" s="320">
        <f t="shared" si="165"/>
        <v>0</v>
      </c>
      <c r="CO183" s="320">
        <f t="shared" si="204"/>
        <v>0</v>
      </c>
      <c r="CP183" s="427">
        <v>1</v>
      </c>
      <c r="CQ183" s="427" t="s">
        <v>317</v>
      </c>
      <c r="CR183" s="320">
        <f t="shared" si="167"/>
        <v>1</v>
      </c>
      <c r="CS183" s="320">
        <f t="shared" si="176"/>
        <v>0</v>
      </c>
      <c r="CT183" s="320">
        <f t="shared" si="200"/>
        <v>1</v>
      </c>
      <c r="CU183" s="320">
        <f t="shared" si="201"/>
        <v>0</v>
      </c>
      <c r="CV183" s="427">
        <v>1</v>
      </c>
      <c r="CW183" s="17">
        <v>0</v>
      </c>
      <c r="CX183" s="320">
        <f t="shared" si="202"/>
        <v>0</v>
      </c>
      <c r="CY183" s="320">
        <f t="shared" si="168"/>
        <v>0</v>
      </c>
      <c r="CZ183" s="320">
        <f t="shared" si="169"/>
        <v>0</v>
      </c>
      <c r="DA183" s="17">
        <v>1</v>
      </c>
      <c r="DB183" s="17">
        <v>1</v>
      </c>
      <c r="DC183" s="17">
        <v>0</v>
      </c>
      <c r="DD183" s="31"/>
      <c r="DE183" s="333"/>
      <c r="DF183" s="333"/>
      <c r="DG183" s="333"/>
      <c r="DH183" s="333"/>
      <c r="DI183" s="333"/>
      <c r="DJ183" s="333"/>
      <c r="DK183" s="333"/>
      <c r="DL183" s="333"/>
      <c r="DM183" s="333"/>
      <c r="DN183" s="333"/>
      <c r="DO183" s="333"/>
      <c r="DP183" s="334"/>
      <c r="DQ183" s="288"/>
      <c r="DR183" s="240">
        <f>SUM(DS183:DX183)/6</f>
        <v>0.38683574879227051</v>
      </c>
      <c r="DS183" s="429">
        <f t="shared" si="170"/>
        <v>0.30434782608695654</v>
      </c>
      <c r="DT183" s="429">
        <f>SUM(BA183:BE183,BG183)/5</f>
        <v>0.6</v>
      </c>
      <c r="DU183" s="429">
        <f>SUM(BI183,BO183,BS183,BU183:BW183)/6</f>
        <v>0.16666666666666666</v>
      </c>
      <c r="DV183" s="429">
        <f>SUM(BY183-CB183,CD183-CG183)/8</f>
        <v>0.25</v>
      </c>
      <c r="DW183" s="429">
        <f>SUM(CH183:CJ183,CL183:CO183,BN183,BR183)/9</f>
        <v>0.33333333333333331</v>
      </c>
      <c r="DX183" s="429">
        <f>SUM(CP183,CR183:CV183)/6</f>
        <v>0.66666666666666663</v>
      </c>
      <c r="DY183" s="444"/>
      <c r="DZ183" s="137" t="s">
        <v>732</v>
      </c>
      <c r="EA183" s="135"/>
      <c r="EB183" s="137" t="s">
        <v>744</v>
      </c>
      <c r="EC183" s="137" t="s">
        <v>756</v>
      </c>
      <c r="ED183" s="124">
        <v>3</v>
      </c>
      <c r="EH183" s="46">
        <v>0</v>
      </c>
      <c r="EI183" s="45"/>
      <c r="EJ183" s="33" t="b">
        <f t="shared" si="171"/>
        <v>0</v>
      </c>
      <c r="EK183" s="42"/>
      <c r="EL183" s="42"/>
      <c r="EM183" s="42"/>
      <c r="EN183" s="439"/>
      <c r="EO183" s="439"/>
      <c r="EP183" s="439"/>
      <c r="EQ183" s="47"/>
      <c r="ER183" s="43"/>
      <c r="ES183" s="47"/>
      <c r="ET183" s="442"/>
      <c r="EU183" s="78"/>
      <c r="EV183" s="78"/>
      <c r="EZ183" s="393" t="s">
        <v>197</v>
      </c>
      <c r="FA183" s="393" t="s">
        <v>197</v>
      </c>
      <c r="FB183" s="389">
        <v>966</v>
      </c>
      <c r="FC183" s="389">
        <v>854</v>
      </c>
      <c r="FD183" s="389">
        <v>798</v>
      </c>
      <c r="FE183" s="389">
        <v>742</v>
      </c>
      <c r="FF183" s="389">
        <v>686</v>
      </c>
      <c r="FG183" s="390">
        <v>-1.3114754098360656E-2</v>
      </c>
      <c r="FH183" s="390">
        <v>-1.4035087719298244E-2</v>
      </c>
      <c r="FI183" s="390">
        <v>-1.509433962264151E-2</v>
      </c>
      <c r="FJ183" s="391">
        <v>7.5471698113207669E-2</v>
      </c>
      <c r="FK183" s="391" t="s">
        <v>1386</v>
      </c>
      <c r="FL183" s="31" t="s">
        <v>1379</v>
      </c>
      <c r="FN183" s="128" t="s">
        <v>1736</v>
      </c>
      <c r="FO183" s="128" t="s">
        <v>1737</v>
      </c>
      <c r="FP183" s="128"/>
    </row>
    <row r="184" spans="1:177" ht="22" hidden="1" customHeight="1" x14ac:dyDescent="0.2">
      <c r="A184" s="13" t="s">
        <v>10</v>
      </c>
      <c r="B184" s="14" t="s">
        <v>39</v>
      </c>
      <c r="C184" s="14"/>
      <c r="D184" s="14" t="s">
        <v>1068</v>
      </c>
      <c r="E184" s="128" t="s">
        <v>198</v>
      </c>
      <c r="F184" s="15" t="s">
        <v>639</v>
      </c>
      <c r="G184" s="15" t="s">
        <v>635</v>
      </c>
      <c r="H184" s="91">
        <v>0</v>
      </c>
      <c r="I184" s="95">
        <f t="shared" si="203"/>
        <v>2</v>
      </c>
      <c r="J184" s="91"/>
      <c r="K184" s="256">
        <f t="shared" si="137"/>
        <v>2</v>
      </c>
      <c r="L184" s="101" t="s">
        <v>679</v>
      </c>
      <c r="M184" s="99">
        <v>1</v>
      </c>
      <c r="N184" s="89"/>
      <c r="O184" s="98" t="str">
        <f t="shared" si="136"/>
        <v>_x000D__x000D_</v>
      </c>
      <c r="P184" s="144" t="str">
        <f>CONCATENATE(V184,R184,X184)</f>
        <v xml:space="preserve">_x000D_In the land use, land-use change and forestry sector, the priority actions relate to: _x000D_(i) the promotion of private, community and State reforestation through the creation of plantations and the promotion of agroforestry on cultivated land;_x000D_(ii) sustainable forest planning and protection (by managing brush fires, regenerating degraded sites, and demarcating and developing protected areas and tourist sites); and_x000D_(iii) the cartographic study of geographic areas with a strong potential for the development of biofuels in conjunction with food security issues. Cost: US$500 million._x000D__x000D_Sector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(PGICT)_x000D__x000D_ </v>
      </c>
      <c r="Q184" s="217"/>
      <c r="R184" s="64" t="s">
        <v>918</v>
      </c>
      <c r="S184" s="492"/>
      <c r="T184" s="300" t="s">
        <v>842</v>
      </c>
      <c r="U184" s="300" t="s">
        <v>890</v>
      </c>
      <c r="V184" s="300" t="s">
        <v>991</v>
      </c>
      <c r="W184" s="258">
        <v>1</v>
      </c>
      <c r="X184" s="307" t="s">
        <v>924</v>
      </c>
      <c r="Y184" s="274"/>
      <c r="Z184" s="426" t="s">
        <v>820</v>
      </c>
      <c r="AA184" s="320">
        <f t="shared" si="182"/>
        <v>1</v>
      </c>
      <c r="AB184" s="320">
        <f t="shared" si="183"/>
        <v>0</v>
      </c>
      <c r="AC184" s="320">
        <f t="shared" si="184"/>
        <v>1</v>
      </c>
      <c r="AD184" s="320">
        <f t="shared" si="185"/>
        <v>0</v>
      </c>
      <c r="AE184" s="320">
        <f t="shared" si="186"/>
        <v>1</v>
      </c>
      <c r="AF184" s="320">
        <f t="shared" si="187"/>
        <v>0</v>
      </c>
      <c r="AG184" s="320">
        <f t="shared" si="188"/>
        <v>0</v>
      </c>
      <c r="AH184" s="427" t="s">
        <v>224</v>
      </c>
      <c r="AI184" s="320">
        <f t="shared" si="189"/>
        <v>1</v>
      </c>
      <c r="AJ184" s="320">
        <f t="shared" si="190"/>
        <v>0</v>
      </c>
      <c r="AK184" s="320">
        <f t="shared" si="191"/>
        <v>1</v>
      </c>
      <c r="AL184" s="320">
        <f t="shared" si="192"/>
        <v>0</v>
      </c>
      <c r="AM184" s="320">
        <f t="shared" si="193"/>
        <v>1</v>
      </c>
      <c r="AN184" s="320">
        <f t="shared" si="194"/>
        <v>0</v>
      </c>
      <c r="AO184" s="427" t="s">
        <v>819</v>
      </c>
      <c r="AP184" s="320">
        <f t="shared" si="173"/>
        <v>1</v>
      </c>
      <c r="AQ184" s="320">
        <f t="shared" si="148"/>
        <v>0</v>
      </c>
      <c r="AR184" s="320">
        <f t="shared" si="149"/>
        <v>1</v>
      </c>
      <c r="AS184" s="320">
        <f t="shared" si="150"/>
        <v>0</v>
      </c>
      <c r="AT184" s="320">
        <f t="shared" si="151"/>
        <v>1</v>
      </c>
      <c r="AU184" s="320">
        <f t="shared" si="152"/>
        <v>1</v>
      </c>
      <c r="AV184" s="427">
        <v>0</v>
      </c>
      <c r="AW184" s="320">
        <f t="shared" si="153"/>
        <v>0</v>
      </c>
      <c r="AX184" s="320">
        <f t="shared" si="154"/>
        <v>0</v>
      </c>
      <c r="AY184" s="320">
        <f t="shared" si="155"/>
        <v>0</v>
      </c>
      <c r="AZ184" s="320">
        <f t="shared" si="156"/>
        <v>0</v>
      </c>
      <c r="BA184" s="17">
        <v>1</v>
      </c>
      <c r="BB184" s="17" t="s">
        <v>842</v>
      </c>
      <c r="BC184" s="17">
        <v>1</v>
      </c>
      <c r="BD184" s="17">
        <v>1</v>
      </c>
      <c r="BE184" s="17">
        <v>0</v>
      </c>
      <c r="BF184" s="17" t="s">
        <v>818</v>
      </c>
      <c r="BG184" s="428">
        <f t="shared" si="195"/>
        <v>1</v>
      </c>
      <c r="BH184" s="17">
        <v>1</v>
      </c>
      <c r="BI184" s="17">
        <v>1</v>
      </c>
      <c r="BJ184" s="17" t="s">
        <v>890</v>
      </c>
      <c r="BK184" s="17"/>
      <c r="BL184" s="17">
        <v>1</v>
      </c>
      <c r="BM184" s="17" t="s">
        <v>1168</v>
      </c>
      <c r="BN184" s="320">
        <f t="shared" si="196"/>
        <v>1</v>
      </c>
      <c r="BO184" s="320">
        <f t="shared" si="197"/>
        <v>0</v>
      </c>
      <c r="BP184" s="427">
        <v>1</v>
      </c>
      <c r="BQ184" s="427" t="s">
        <v>1169</v>
      </c>
      <c r="BR184" s="320">
        <f t="shared" si="207"/>
        <v>1</v>
      </c>
      <c r="BS184" s="320">
        <v>0</v>
      </c>
      <c r="BT184" s="427">
        <v>1</v>
      </c>
      <c r="BU184" s="320">
        <f t="shared" si="198"/>
        <v>1</v>
      </c>
      <c r="BV184" s="320">
        <f t="shared" si="158"/>
        <v>0</v>
      </c>
      <c r="BW184" s="320">
        <f t="shared" si="175"/>
        <v>0</v>
      </c>
      <c r="BX184" s="427" t="s">
        <v>317</v>
      </c>
      <c r="BY184" s="320">
        <f t="shared" si="208"/>
        <v>1</v>
      </c>
      <c r="BZ184" s="320">
        <f t="shared" si="159"/>
        <v>1</v>
      </c>
      <c r="CA184" s="320">
        <f t="shared" si="206"/>
        <v>0</v>
      </c>
      <c r="CB184" s="320">
        <f t="shared" si="209"/>
        <v>0</v>
      </c>
      <c r="CC184" s="427">
        <v>1</v>
      </c>
      <c r="CD184" s="320">
        <f t="shared" si="160"/>
        <v>1</v>
      </c>
      <c r="CE184" s="320">
        <f t="shared" si="161"/>
        <v>0</v>
      </c>
      <c r="CF184" s="320">
        <f t="shared" si="162"/>
        <v>0</v>
      </c>
      <c r="CG184" s="320">
        <f t="shared" si="163"/>
        <v>0</v>
      </c>
      <c r="CH184" s="427">
        <v>1</v>
      </c>
      <c r="CI184" s="427">
        <v>0</v>
      </c>
      <c r="CJ184" s="427">
        <v>1</v>
      </c>
      <c r="CK184" s="427">
        <v>0</v>
      </c>
      <c r="CL184" s="320">
        <f t="shared" si="178"/>
        <v>0</v>
      </c>
      <c r="CM184" s="320">
        <f t="shared" si="164"/>
        <v>0</v>
      </c>
      <c r="CN184" s="320">
        <f t="shared" si="165"/>
        <v>0</v>
      </c>
      <c r="CO184" s="320">
        <f t="shared" si="204"/>
        <v>0</v>
      </c>
      <c r="CP184" s="427">
        <v>1</v>
      </c>
      <c r="CQ184" s="427">
        <v>0</v>
      </c>
      <c r="CR184" s="320">
        <f t="shared" si="167"/>
        <v>0</v>
      </c>
      <c r="CS184" s="320">
        <f t="shared" si="176"/>
        <v>0</v>
      </c>
      <c r="CT184" s="320">
        <f t="shared" si="200"/>
        <v>0</v>
      </c>
      <c r="CU184" s="320">
        <f t="shared" si="201"/>
        <v>0</v>
      </c>
      <c r="CV184" s="427">
        <v>1</v>
      </c>
      <c r="CW184" s="17">
        <v>4</v>
      </c>
      <c r="CX184" s="320">
        <f t="shared" si="202"/>
        <v>0</v>
      </c>
      <c r="CY184" s="320">
        <f t="shared" si="168"/>
        <v>0</v>
      </c>
      <c r="CZ184" s="320">
        <f t="shared" si="169"/>
        <v>0</v>
      </c>
      <c r="DA184" s="17"/>
      <c r="DB184" s="17"/>
      <c r="DC184" s="17"/>
      <c r="DD184" s="31"/>
      <c r="DE184" s="323" t="s">
        <v>387</v>
      </c>
      <c r="DF184" s="323" t="s">
        <v>387</v>
      </c>
      <c r="DG184" s="323" t="s">
        <v>821</v>
      </c>
      <c r="DH184" s="323" t="s">
        <v>387</v>
      </c>
      <c r="DI184" s="323"/>
      <c r="DJ184" s="323" t="s">
        <v>387</v>
      </c>
      <c r="DK184" s="323">
        <v>1</v>
      </c>
      <c r="DL184" s="323">
        <v>1</v>
      </c>
      <c r="DM184" s="323">
        <v>1</v>
      </c>
      <c r="DN184" s="323">
        <v>1</v>
      </c>
      <c r="DO184" s="323" t="s">
        <v>821</v>
      </c>
      <c r="DP184" s="324">
        <v>1</v>
      </c>
      <c r="DQ184" s="291"/>
      <c r="DR184" s="239">
        <f>SUM(DS184:DX184)/6</f>
        <v>0.43264895330112724</v>
      </c>
      <c r="DS184" s="429">
        <f t="shared" si="170"/>
        <v>0.43478260869565216</v>
      </c>
      <c r="DT184" s="448">
        <f>SUM(BA184:BE184,BG184)/5</f>
        <v>0.8</v>
      </c>
      <c r="DU184" s="429">
        <f>SUM(BI184,BO184,BS184,BU184:BW184)/6</f>
        <v>0.33333333333333331</v>
      </c>
      <c r="DV184" s="429">
        <f>SUM(BY184-CB184,CD184-CG184)/8</f>
        <v>0.25</v>
      </c>
      <c r="DW184" s="429">
        <f>SUM(CH184:CJ184,CL184:CO184,BN184,BR184)/9</f>
        <v>0.44444444444444442</v>
      </c>
      <c r="DX184" s="429">
        <f>SUM(CP184,CR184:CV184)/6</f>
        <v>0.33333333333333331</v>
      </c>
      <c r="DY184" s="444"/>
      <c r="DZ184" s="134"/>
      <c r="EA184" s="135"/>
      <c r="EB184" s="135"/>
      <c r="EC184" s="135"/>
      <c r="ED184" s="124"/>
      <c r="EH184" s="44"/>
      <c r="EI184" s="45"/>
      <c r="EJ184" s="33" t="e">
        <f t="shared" si="171"/>
        <v>#VALUE!</v>
      </c>
      <c r="EK184" s="42"/>
      <c r="EL184" s="42"/>
      <c r="EM184" s="42"/>
      <c r="EN184" s="439"/>
      <c r="EO184" s="439"/>
      <c r="EP184" s="439"/>
      <c r="EQ184" s="38"/>
      <c r="ER184" s="67"/>
      <c r="ES184" s="38"/>
      <c r="ET184" s="442"/>
      <c r="EU184" s="78"/>
      <c r="EV184" s="78"/>
      <c r="EZ184" s="393" t="s">
        <v>198</v>
      </c>
      <c r="FA184" s="393" t="s">
        <v>198</v>
      </c>
      <c r="FB184" s="389">
        <v>685</v>
      </c>
      <c r="FC184" s="389">
        <v>486</v>
      </c>
      <c r="FD184" s="389">
        <v>386</v>
      </c>
      <c r="FE184" s="389">
        <v>287</v>
      </c>
      <c r="FF184" s="389">
        <v>188</v>
      </c>
      <c r="FG184" s="390">
        <v>-4.1152263374485597E-2</v>
      </c>
      <c r="FH184" s="390">
        <v>-5.1295336787564774E-2</v>
      </c>
      <c r="FI184" s="390">
        <v>-6.898954703832752E-2</v>
      </c>
      <c r="FJ184" s="391">
        <v>0.34494773519163729</v>
      </c>
      <c r="FK184" s="391" t="s">
        <v>1386</v>
      </c>
      <c r="FL184" s="31" t="s">
        <v>1379</v>
      </c>
      <c r="FN184" s="128" t="s">
        <v>1738</v>
      </c>
      <c r="FO184" s="128" t="s">
        <v>1739</v>
      </c>
      <c r="FP184" s="128"/>
    </row>
    <row r="185" spans="1:177" ht="22" hidden="1" customHeight="1" x14ac:dyDescent="0.2">
      <c r="A185" s="13" t="s">
        <v>24</v>
      </c>
      <c r="B185" s="14" t="s">
        <v>67</v>
      </c>
      <c r="C185" s="14"/>
      <c r="D185" s="14"/>
      <c r="E185" s="128" t="s">
        <v>199</v>
      </c>
      <c r="F185" s="15"/>
      <c r="G185" s="15" t="s">
        <v>634</v>
      </c>
      <c r="H185" s="91">
        <f t="shared" ref="H185:H203" si="210">IF(G185="YES",0,1)</f>
        <v>1</v>
      </c>
      <c r="I185" s="95">
        <f t="shared" si="203"/>
        <v>0</v>
      </c>
      <c r="J185" s="91"/>
      <c r="K185" s="256">
        <f t="shared" si="137"/>
        <v>1</v>
      </c>
      <c r="L185" s="101">
        <v>0</v>
      </c>
      <c r="M185" s="99"/>
      <c r="N185" s="89"/>
      <c r="O185" s="98" t="str">
        <f t="shared" ref="O185:O203" si="211">CONCATENATE(Q185,R185,S185)</f>
        <v>_x000D__x000D_</v>
      </c>
      <c r="P185" s="144"/>
      <c r="Q185" s="217"/>
      <c r="R185" s="64" t="s">
        <v>918</v>
      </c>
      <c r="S185" s="492"/>
      <c r="T185" s="300" t="s">
        <v>834</v>
      </c>
      <c r="U185" s="300" t="s">
        <v>834</v>
      </c>
      <c r="V185" s="300" t="s">
        <v>834</v>
      </c>
      <c r="W185" s="258"/>
      <c r="X185" s="307" t="s">
        <v>834</v>
      </c>
      <c r="Y185" s="274"/>
      <c r="Z185" s="426"/>
      <c r="AA185" s="320">
        <f t="shared" si="182"/>
        <v>0</v>
      </c>
      <c r="AB185" s="320">
        <f t="shared" si="183"/>
        <v>0</v>
      </c>
      <c r="AC185" s="320">
        <f t="shared" si="184"/>
        <v>0</v>
      </c>
      <c r="AD185" s="320">
        <f t="shared" si="185"/>
        <v>0</v>
      </c>
      <c r="AE185" s="320">
        <f t="shared" si="186"/>
        <v>0</v>
      </c>
      <c r="AF185" s="320">
        <f t="shared" si="187"/>
        <v>0</v>
      </c>
      <c r="AG185" s="320">
        <f t="shared" si="188"/>
        <v>0</v>
      </c>
      <c r="AH185" s="427"/>
      <c r="AI185" s="320">
        <f t="shared" si="189"/>
        <v>0</v>
      </c>
      <c r="AJ185" s="320">
        <f t="shared" si="190"/>
        <v>0</v>
      </c>
      <c r="AK185" s="320">
        <f t="shared" si="191"/>
        <v>0</v>
      </c>
      <c r="AL185" s="320">
        <f t="shared" si="192"/>
        <v>0</v>
      </c>
      <c r="AM185" s="320">
        <f t="shared" si="193"/>
        <v>0</v>
      </c>
      <c r="AN185" s="320">
        <f t="shared" si="194"/>
        <v>0</v>
      </c>
      <c r="AO185" s="427"/>
      <c r="AP185" s="320">
        <f t="shared" si="173"/>
        <v>0</v>
      </c>
      <c r="AQ185" s="320">
        <f t="shared" si="148"/>
        <v>0</v>
      </c>
      <c r="AR185" s="320">
        <f t="shared" si="149"/>
        <v>0</v>
      </c>
      <c r="AS185" s="320">
        <f t="shared" si="150"/>
        <v>0</v>
      </c>
      <c r="AT185" s="320">
        <f t="shared" si="151"/>
        <v>0</v>
      </c>
      <c r="AU185" s="320">
        <f t="shared" si="152"/>
        <v>0</v>
      </c>
      <c r="AV185" s="427"/>
      <c r="AW185" s="320">
        <f t="shared" si="153"/>
        <v>0</v>
      </c>
      <c r="AX185" s="320">
        <f t="shared" si="154"/>
        <v>0</v>
      </c>
      <c r="AY185" s="320">
        <f t="shared" si="155"/>
        <v>0</v>
      </c>
      <c r="AZ185" s="320">
        <f t="shared" si="156"/>
        <v>0</v>
      </c>
      <c r="BA185" s="17"/>
      <c r="BB185" s="17" t="s">
        <v>834</v>
      </c>
      <c r="BC185" s="17"/>
      <c r="BD185" s="17"/>
      <c r="BE185" s="17"/>
      <c r="BF185" s="17"/>
      <c r="BG185" s="428">
        <f t="shared" si="195"/>
        <v>0</v>
      </c>
      <c r="BH185" s="17"/>
      <c r="BI185" s="17"/>
      <c r="BJ185" s="17"/>
      <c r="BK185" s="17"/>
      <c r="BL185" s="17"/>
      <c r="BM185" s="17"/>
      <c r="BN185" s="320">
        <f t="shared" si="196"/>
        <v>0</v>
      </c>
      <c r="BO185" s="320">
        <f t="shared" si="197"/>
        <v>0</v>
      </c>
      <c r="BP185" s="427"/>
      <c r="BQ185" s="427"/>
      <c r="BR185" s="320">
        <f t="shared" si="207"/>
        <v>0</v>
      </c>
      <c r="BS185" s="320">
        <f t="shared" si="207"/>
        <v>0</v>
      </c>
      <c r="BT185" s="427"/>
      <c r="BU185" s="320">
        <f t="shared" si="198"/>
        <v>0</v>
      </c>
      <c r="BV185" s="320">
        <f t="shared" si="158"/>
        <v>0</v>
      </c>
      <c r="BW185" s="320">
        <f t="shared" si="175"/>
        <v>0</v>
      </c>
      <c r="BX185" s="427"/>
      <c r="BY185" s="320">
        <f t="shared" si="208"/>
        <v>0</v>
      </c>
      <c r="BZ185" s="320">
        <f t="shared" si="159"/>
        <v>0</v>
      </c>
      <c r="CA185" s="320">
        <f t="shared" si="206"/>
        <v>0</v>
      </c>
      <c r="CB185" s="320">
        <f t="shared" si="209"/>
        <v>0</v>
      </c>
      <c r="CC185" s="427"/>
      <c r="CD185" s="320">
        <f t="shared" si="160"/>
        <v>0</v>
      </c>
      <c r="CE185" s="320">
        <f t="shared" si="161"/>
        <v>0</v>
      </c>
      <c r="CF185" s="320">
        <f t="shared" si="162"/>
        <v>0</v>
      </c>
      <c r="CG185" s="320">
        <f t="shared" si="163"/>
        <v>0</v>
      </c>
      <c r="CH185" s="427"/>
      <c r="CI185" s="427"/>
      <c r="CJ185" s="427"/>
      <c r="CK185" s="427"/>
      <c r="CL185" s="320">
        <f t="shared" si="178"/>
        <v>0</v>
      </c>
      <c r="CM185" s="320">
        <f t="shared" si="164"/>
        <v>0</v>
      </c>
      <c r="CN185" s="320">
        <f t="shared" si="165"/>
        <v>0</v>
      </c>
      <c r="CO185" s="320">
        <f t="shared" si="204"/>
        <v>0</v>
      </c>
      <c r="CP185" s="427"/>
      <c r="CQ185" s="427"/>
      <c r="CR185" s="320">
        <f t="shared" si="167"/>
        <v>0</v>
      </c>
      <c r="CS185" s="320">
        <f t="shared" si="176"/>
        <v>0</v>
      </c>
      <c r="CT185" s="320">
        <f t="shared" si="200"/>
        <v>0</v>
      </c>
      <c r="CU185" s="320">
        <f t="shared" si="201"/>
        <v>0</v>
      </c>
      <c r="CV185" s="427"/>
      <c r="CW185" s="17"/>
      <c r="CX185" s="320">
        <f t="shared" si="202"/>
        <v>0</v>
      </c>
      <c r="CY185" s="320">
        <f t="shared" si="168"/>
        <v>0</v>
      </c>
      <c r="CZ185" s="320">
        <f t="shared" si="169"/>
        <v>0</v>
      </c>
      <c r="DA185" s="17"/>
      <c r="DB185" s="17"/>
      <c r="DC185" s="17"/>
      <c r="DD185" s="31"/>
      <c r="DE185" s="321"/>
      <c r="DF185" s="321"/>
      <c r="DG185" s="321"/>
      <c r="DH185" s="321"/>
      <c r="DI185" s="321"/>
      <c r="DJ185" s="321"/>
      <c r="DK185" s="321"/>
      <c r="DL185" s="321"/>
      <c r="DM185" s="321"/>
      <c r="DN185" s="321"/>
      <c r="DO185" s="321"/>
      <c r="DP185" s="322"/>
      <c r="DQ185" s="288"/>
      <c r="DR185" s="241"/>
      <c r="DS185" s="429">
        <f t="shared" si="170"/>
        <v>0</v>
      </c>
      <c r="DT185" s="429"/>
      <c r="DU185" s="429"/>
      <c r="DV185" s="429"/>
      <c r="DW185" s="429"/>
      <c r="DX185" s="429"/>
      <c r="DY185" s="429"/>
      <c r="DZ185" s="134"/>
      <c r="EA185" s="134"/>
      <c r="EB185" s="134"/>
      <c r="EC185" s="134"/>
      <c r="ED185" s="123"/>
      <c r="EH185" s="46">
        <v>0</v>
      </c>
      <c r="EI185" s="45"/>
      <c r="EJ185" s="33" t="b">
        <f t="shared" si="171"/>
        <v>0</v>
      </c>
      <c r="EK185" s="42"/>
      <c r="EL185" s="42"/>
      <c r="EM185" s="42"/>
      <c r="EN185" s="439"/>
      <c r="EO185" s="439"/>
      <c r="EP185" s="439"/>
      <c r="EQ185" s="47"/>
      <c r="ER185" s="43">
        <v>1</v>
      </c>
      <c r="ES185" s="47"/>
      <c r="ET185" s="442"/>
      <c r="EU185" s="78"/>
      <c r="EV185" s="78"/>
      <c r="EZ185" s="393" t="s">
        <v>199</v>
      </c>
      <c r="FA185" s="393" t="s">
        <v>199</v>
      </c>
      <c r="FB185" s="389">
        <v>9</v>
      </c>
      <c r="FC185" s="389">
        <v>9</v>
      </c>
      <c r="FD185" s="389">
        <v>9</v>
      </c>
      <c r="FE185" s="389">
        <v>9</v>
      </c>
      <c r="FF185" s="389">
        <v>9</v>
      </c>
      <c r="FG185" s="390">
        <v>0</v>
      </c>
      <c r="FH185" s="390">
        <v>0</v>
      </c>
      <c r="FI185" s="390">
        <v>0</v>
      </c>
      <c r="FJ185" s="391">
        <v>0</v>
      </c>
      <c r="FK185" s="391" t="s">
        <v>1386</v>
      </c>
      <c r="FL185" s="31" t="s">
        <v>1387</v>
      </c>
      <c r="FN185" s="128" t="s">
        <v>1740</v>
      </c>
      <c r="FO185" s="128" t="s">
        <v>1741</v>
      </c>
      <c r="FP185" s="128"/>
    </row>
    <row r="186" spans="1:177" ht="22" hidden="1" customHeight="1" x14ac:dyDescent="0.2">
      <c r="A186" s="13" t="s">
        <v>16</v>
      </c>
      <c r="B186" s="19" t="s">
        <v>17</v>
      </c>
      <c r="C186" s="19"/>
      <c r="D186" s="19"/>
      <c r="E186" s="128" t="s">
        <v>200</v>
      </c>
      <c r="F186" s="15"/>
      <c r="G186" s="15" t="s">
        <v>634</v>
      </c>
      <c r="H186" s="91">
        <f t="shared" si="210"/>
        <v>1</v>
      </c>
      <c r="I186" s="95">
        <f t="shared" si="203"/>
        <v>0</v>
      </c>
      <c r="J186" s="91"/>
      <c r="K186" s="256">
        <f t="shared" si="137"/>
        <v>1</v>
      </c>
      <c r="L186" s="101">
        <v>0</v>
      </c>
      <c r="M186" s="99"/>
      <c r="N186" s="89"/>
      <c r="O186" s="98" t="str">
        <f t="shared" si="211"/>
        <v>_x000D__x000D_</v>
      </c>
      <c r="P186" s="98"/>
      <c r="Q186" s="217"/>
      <c r="R186" s="64" t="s">
        <v>918</v>
      </c>
      <c r="S186" s="492"/>
      <c r="T186" s="300" t="s">
        <v>834</v>
      </c>
      <c r="U186" s="300" t="s">
        <v>834</v>
      </c>
      <c r="V186" s="300" t="s">
        <v>834</v>
      </c>
      <c r="W186" s="258"/>
      <c r="X186" s="307" t="s">
        <v>834</v>
      </c>
      <c r="Y186" s="274"/>
      <c r="Z186" s="426"/>
      <c r="AA186" s="320">
        <f t="shared" si="182"/>
        <v>0</v>
      </c>
      <c r="AB186" s="320">
        <f t="shared" si="183"/>
        <v>0</v>
      </c>
      <c r="AC186" s="320">
        <f t="shared" si="184"/>
        <v>0</v>
      </c>
      <c r="AD186" s="320">
        <f t="shared" si="185"/>
        <v>0</v>
      </c>
      <c r="AE186" s="320">
        <f t="shared" si="186"/>
        <v>0</v>
      </c>
      <c r="AF186" s="320">
        <f t="shared" si="187"/>
        <v>0</v>
      </c>
      <c r="AG186" s="320">
        <f t="shared" si="188"/>
        <v>0</v>
      </c>
      <c r="AH186" s="427"/>
      <c r="AI186" s="320">
        <f t="shared" si="189"/>
        <v>0</v>
      </c>
      <c r="AJ186" s="320">
        <f t="shared" si="190"/>
        <v>0</v>
      </c>
      <c r="AK186" s="320">
        <f t="shared" si="191"/>
        <v>0</v>
      </c>
      <c r="AL186" s="320">
        <f t="shared" si="192"/>
        <v>0</v>
      </c>
      <c r="AM186" s="320">
        <f t="shared" si="193"/>
        <v>0</v>
      </c>
      <c r="AN186" s="320">
        <f t="shared" si="194"/>
        <v>0</v>
      </c>
      <c r="AO186" s="427"/>
      <c r="AP186" s="320">
        <f t="shared" si="173"/>
        <v>0</v>
      </c>
      <c r="AQ186" s="320">
        <f t="shared" si="148"/>
        <v>0</v>
      </c>
      <c r="AR186" s="320">
        <f t="shared" si="149"/>
        <v>0</v>
      </c>
      <c r="AS186" s="320">
        <f t="shared" si="150"/>
        <v>0</v>
      </c>
      <c r="AT186" s="320">
        <f t="shared" si="151"/>
        <v>0</v>
      </c>
      <c r="AU186" s="320">
        <f t="shared" si="152"/>
        <v>0</v>
      </c>
      <c r="AV186" s="427"/>
      <c r="AW186" s="320">
        <f t="shared" si="153"/>
        <v>0</v>
      </c>
      <c r="AX186" s="320">
        <f t="shared" si="154"/>
        <v>0</v>
      </c>
      <c r="AY186" s="320">
        <f t="shared" si="155"/>
        <v>0</v>
      </c>
      <c r="AZ186" s="320">
        <f t="shared" si="156"/>
        <v>0</v>
      </c>
      <c r="BA186" s="17"/>
      <c r="BB186" s="17" t="s">
        <v>834</v>
      </c>
      <c r="BC186" s="17"/>
      <c r="BD186" s="17"/>
      <c r="BE186" s="17"/>
      <c r="BF186" s="17"/>
      <c r="BG186" s="428">
        <f t="shared" si="195"/>
        <v>0</v>
      </c>
      <c r="BH186" s="17"/>
      <c r="BI186" s="17"/>
      <c r="BJ186" s="17"/>
      <c r="BK186" s="17"/>
      <c r="BL186" s="17"/>
      <c r="BM186" s="17"/>
      <c r="BN186" s="320">
        <f t="shared" si="196"/>
        <v>0</v>
      </c>
      <c r="BO186" s="320">
        <f t="shared" si="197"/>
        <v>0</v>
      </c>
      <c r="BP186" s="427"/>
      <c r="BQ186" s="427"/>
      <c r="BR186" s="320">
        <f t="shared" si="207"/>
        <v>0</v>
      </c>
      <c r="BS186" s="320">
        <f t="shared" si="207"/>
        <v>0</v>
      </c>
      <c r="BT186" s="427"/>
      <c r="BU186" s="320">
        <f t="shared" si="198"/>
        <v>0</v>
      </c>
      <c r="BV186" s="320">
        <f t="shared" si="158"/>
        <v>0</v>
      </c>
      <c r="BW186" s="320">
        <f t="shared" si="175"/>
        <v>0</v>
      </c>
      <c r="BX186" s="427"/>
      <c r="BY186" s="320">
        <f t="shared" si="208"/>
        <v>0</v>
      </c>
      <c r="BZ186" s="320">
        <f t="shared" si="159"/>
        <v>0</v>
      </c>
      <c r="CA186" s="320">
        <f t="shared" si="206"/>
        <v>0</v>
      </c>
      <c r="CB186" s="320">
        <f t="shared" si="209"/>
        <v>0</v>
      </c>
      <c r="CC186" s="427"/>
      <c r="CD186" s="320">
        <f t="shared" si="160"/>
        <v>0</v>
      </c>
      <c r="CE186" s="320">
        <f t="shared" si="161"/>
        <v>0</v>
      </c>
      <c r="CF186" s="320">
        <f t="shared" si="162"/>
        <v>0</v>
      </c>
      <c r="CG186" s="320">
        <f t="shared" si="163"/>
        <v>0</v>
      </c>
      <c r="CH186" s="427"/>
      <c r="CI186" s="427"/>
      <c r="CJ186" s="427"/>
      <c r="CK186" s="427"/>
      <c r="CL186" s="320">
        <f t="shared" si="178"/>
        <v>0</v>
      </c>
      <c r="CM186" s="320">
        <f t="shared" si="164"/>
        <v>0</v>
      </c>
      <c r="CN186" s="320">
        <f t="shared" si="165"/>
        <v>0</v>
      </c>
      <c r="CO186" s="320">
        <f t="shared" si="204"/>
        <v>0</v>
      </c>
      <c r="CP186" s="427"/>
      <c r="CQ186" s="427"/>
      <c r="CR186" s="320">
        <f t="shared" si="167"/>
        <v>0</v>
      </c>
      <c r="CS186" s="320">
        <f t="shared" si="176"/>
        <v>0</v>
      </c>
      <c r="CT186" s="320">
        <f t="shared" si="200"/>
        <v>0</v>
      </c>
      <c r="CU186" s="320">
        <f t="shared" si="201"/>
        <v>0</v>
      </c>
      <c r="CV186" s="427"/>
      <c r="CW186" s="17"/>
      <c r="CX186" s="320">
        <f t="shared" si="202"/>
        <v>0</v>
      </c>
      <c r="CY186" s="320">
        <f t="shared" si="168"/>
        <v>0</v>
      </c>
      <c r="CZ186" s="320">
        <f t="shared" si="169"/>
        <v>0</v>
      </c>
      <c r="DA186" s="17"/>
      <c r="DB186" s="17"/>
      <c r="DC186" s="17"/>
      <c r="DD186" s="31"/>
      <c r="DE186" s="323"/>
      <c r="DF186" s="323"/>
      <c r="DG186" s="323"/>
      <c r="DH186" s="323"/>
      <c r="DI186" s="323"/>
      <c r="DJ186" s="323"/>
      <c r="DK186" s="323"/>
      <c r="DL186" s="323"/>
      <c r="DM186" s="323"/>
      <c r="DN186" s="323"/>
      <c r="DO186" s="323"/>
      <c r="DP186" s="324"/>
      <c r="DQ186" s="288"/>
      <c r="DR186" s="242"/>
      <c r="DS186" s="429">
        <f t="shared" si="170"/>
        <v>0</v>
      </c>
      <c r="DT186" s="429"/>
      <c r="DU186" s="429"/>
      <c r="DV186" s="429"/>
      <c r="DW186" s="429"/>
      <c r="DX186" s="429"/>
      <c r="DY186" s="429"/>
      <c r="DZ186" s="134"/>
      <c r="EA186" s="134"/>
      <c r="EB186" s="134"/>
      <c r="EC186" s="134"/>
      <c r="ED186" s="123"/>
      <c r="EH186" s="44"/>
      <c r="EI186" s="45"/>
      <c r="EJ186" s="33" t="b">
        <f t="shared" si="171"/>
        <v>0</v>
      </c>
      <c r="EK186" s="42"/>
      <c r="EL186" s="42"/>
      <c r="EM186" s="42"/>
      <c r="EN186" s="439"/>
      <c r="EO186" s="439"/>
      <c r="EP186" s="439"/>
      <c r="EQ186" s="38"/>
      <c r="ER186" s="431"/>
      <c r="ES186" s="440"/>
      <c r="ET186" s="431"/>
      <c r="EU186" s="440"/>
      <c r="EV186" s="440"/>
      <c r="EZ186" s="393" t="s">
        <v>200</v>
      </c>
      <c r="FA186" s="393" t="s">
        <v>200</v>
      </c>
      <c r="FB186" s="389">
        <v>240.7</v>
      </c>
      <c r="FC186" s="389">
        <v>233.6</v>
      </c>
      <c r="FD186" s="389">
        <v>230</v>
      </c>
      <c r="FE186" s="389">
        <v>226.4</v>
      </c>
      <c r="FF186" s="389">
        <v>234.476</v>
      </c>
      <c r="FG186" s="390">
        <v>-3.082191780821913E-3</v>
      </c>
      <c r="FH186" s="390">
        <v>-3.130434782608691E-3</v>
      </c>
      <c r="FI186" s="390">
        <v>7.1342756183745528E-3</v>
      </c>
      <c r="FJ186" s="391">
        <v>-3.2790047114252072</v>
      </c>
      <c r="FK186" s="391" t="s">
        <v>1386</v>
      </c>
      <c r="FL186" s="31" t="s">
        <v>1393</v>
      </c>
      <c r="FN186" s="128" t="s">
        <v>1742</v>
      </c>
      <c r="FO186" s="128" t="s">
        <v>1743</v>
      </c>
      <c r="FP186" s="128"/>
    </row>
    <row r="187" spans="1:177" ht="22" customHeight="1" x14ac:dyDescent="0.2">
      <c r="A187" s="13" t="s">
        <v>10</v>
      </c>
      <c r="B187" s="14" t="s">
        <v>11</v>
      </c>
      <c r="C187" s="14"/>
      <c r="D187" s="14"/>
      <c r="E187" s="215" t="s">
        <v>201</v>
      </c>
      <c r="F187" s="15" t="s">
        <v>1357</v>
      </c>
      <c r="G187" s="15" t="s">
        <v>634</v>
      </c>
      <c r="H187" s="91">
        <f t="shared" si="210"/>
        <v>1</v>
      </c>
      <c r="I187" s="95">
        <f t="shared" si="203"/>
        <v>0</v>
      </c>
      <c r="J187" s="94"/>
      <c r="K187" s="256">
        <f t="shared" si="137"/>
        <v>1</v>
      </c>
      <c r="L187" s="367">
        <v>0</v>
      </c>
      <c r="M187" s="369"/>
      <c r="N187" s="155">
        <v>0</v>
      </c>
      <c r="O187" s="158" t="str">
        <f t="shared" si="211"/>
        <v>N/A or not found_x000D__x000D_</v>
      </c>
      <c r="P187" s="98" t="str">
        <f>CONCATENATE(V187,R187,X187)</f>
        <v>N/A or not found_x000D__x000D_</v>
      </c>
      <c r="Q187" s="360" t="s">
        <v>925</v>
      </c>
      <c r="R187" s="64" t="s">
        <v>918</v>
      </c>
      <c r="S187" s="432"/>
      <c r="T187" s="300" t="s">
        <v>925</v>
      </c>
      <c r="U187" s="300" t="s">
        <v>925</v>
      </c>
      <c r="V187" s="300" t="s">
        <v>925</v>
      </c>
      <c r="W187" s="258"/>
      <c r="X187" s="306" t="s">
        <v>834</v>
      </c>
      <c r="Y187" s="295"/>
      <c r="Z187" s="426">
        <v>1</v>
      </c>
      <c r="AA187" s="320">
        <f t="shared" si="182"/>
        <v>1</v>
      </c>
      <c r="AB187" s="320">
        <f t="shared" si="183"/>
        <v>0</v>
      </c>
      <c r="AC187" s="320">
        <f t="shared" si="184"/>
        <v>0</v>
      </c>
      <c r="AD187" s="320">
        <f t="shared" si="185"/>
        <v>0</v>
      </c>
      <c r="AE187" s="320">
        <f t="shared" si="186"/>
        <v>0</v>
      </c>
      <c r="AF187" s="320">
        <f t="shared" si="187"/>
        <v>0</v>
      </c>
      <c r="AG187" s="320">
        <f t="shared" si="188"/>
        <v>0</v>
      </c>
      <c r="AH187" s="427">
        <v>0</v>
      </c>
      <c r="AI187" s="320">
        <f t="shared" si="189"/>
        <v>0</v>
      </c>
      <c r="AJ187" s="320">
        <f t="shared" si="190"/>
        <v>0</v>
      </c>
      <c r="AK187" s="320">
        <f t="shared" si="191"/>
        <v>0</v>
      </c>
      <c r="AL187" s="320">
        <f t="shared" si="192"/>
        <v>0</v>
      </c>
      <c r="AM187" s="320">
        <f t="shared" si="193"/>
        <v>0</v>
      </c>
      <c r="AN187" s="320">
        <f t="shared" si="194"/>
        <v>0</v>
      </c>
      <c r="AO187" s="427">
        <v>1</v>
      </c>
      <c r="AP187" s="320">
        <f t="shared" si="173"/>
        <v>1</v>
      </c>
      <c r="AQ187" s="320">
        <f t="shared" si="148"/>
        <v>0</v>
      </c>
      <c r="AR187" s="320">
        <f t="shared" si="149"/>
        <v>0</v>
      </c>
      <c r="AS187" s="320">
        <f t="shared" si="150"/>
        <v>0</v>
      </c>
      <c r="AT187" s="320">
        <f t="shared" si="151"/>
        <v>0</v>
      </c>
      <c r="AU187" s="320">
        <f t="shared" si="152"/>
        <v>0</v>
      </c>
      <c r="AV187" s="427">
        <v>1</v>
      </c>
      <c r="AW187" s="320">
        <f t="shared" si="153"/>
        <v>1</v>
      </c>
      <c r="AX187" s="320">
        <f t="shared" si="154"/>
        <v>0</v>
      </c>
      <c r="AY187" s="320">
        <f t="shared" si="155"/>
        <v>0</v>
      </c>
      <c r="AZ187" s="320">
        <f t="shared" si="156"/>
        <v>0</v>
      </c>
      <c r="BA187" s="17">
        <v>0</v>
      </c>
      <c r="BB187" s="17" t="s">
        <v>834</v>
      </c>
      <c r="BC187" s="17">
        <v>0</v>
      </c>
      <c r="BD187" s="17">
        <v>0</v>
      </c>
      <c r="BE187" s="17">
        <v>0</v>
      </c>
      <c r="BF187" s="17">
        <v>0</v>
      </c>
      <c r="BG187" s="428">
        <f t="shared" si="195"/>
        <v>0</v>
      </c>
      <c r="BH187" s="17">
        <v>1</v>
      </c>
      <c r="BI187" s="17">
        <v>0</v>
      </c>
      <c r="BJ187" s="17" t="s">
        <v>834</v>
      </c>
      <c r="BK187" s="17">
        <v>0</v>
      </c>
      <c r="BL187" s="17">
        <v>0</v>
      </c>
      <c r="BM187" s="17" t="s">
        <v>834</v>
      </c>
      <c r="BN187" s="320">
        <f t="shared" si="196"/>
        <v>0</v>
      </c>
      <c r="BO187" s="320">
        <f t="shared" si="197"/>
        <v>0</v>
      </c>
      <c r="BP187" s="427">
        <v>1</v>
      </c>
      <c r="BQ187" s="427" t="s">
        <v>1194</v>
      </c>
      <c r="BR187" s="320">
        <f t="shared" si="207"/>
        <v>1</v>
      </c>
      <c r="BS187" s="320">
        <f t="shared" si="207"/>
        <v>1</v>
      </c>
      <c r="BT187" s="427">
        <v>0</v>
      </c>
      <c r="BU187" s="320">
        <f t="shared" si="198"/>
        <v>0</v>
      </c>
      <c r="BV187" s="320">
        <f t="shared" si="158"/>
        <v>0</v>
      </c>
      <c r="BW187" s="320">
        <f t="shared" si="175"/>
        <v>0</v>
      </c>
      <c r="BX187" s="427">
        <v>1</v>
      </c>
      <c r="BY187" s="320">
        <f t="shared" si="208"/>
        <v>1</v>
      </c>
      <c r="BZ187" s="320">
        <f t="shared" si="159"/>
        <v>0</v>
      </c>
      <c r="CA187" s="320">
        <f t="shared" si="206"/>
        <v>0</v>
      </c>
      <c r="CB187" s="320">
        <f t="shared" si="209"/>
        <v>0</v>
      </c>
      <c r="CC187" s="427"/>
      <c r="CD187" s="320">
        <f t="shared" si="160"/>
        <v>0</v>
      </c>
      <c r="CE187" s="320">
        <f t="shared" si="161"/>
        <v>0</v>
      </c>
      <c r="CF187" s="320">
        <f t="shared" si="162"/>
        <v>0</v>
      </c>
      <c r="CG187" s="320">
        <f t="shared" si="163"/>
        <v>0</v>
      </c>
      <c r="CH187" s="427">
        <v>0</v>
      </c>
      <c r="CI187" s="427">
        <v>0</v>
      </c>
      <c r="CJ187" s="427">
        <v>0</v>
      </c>
      <c r="CK187" s="427">
        <v>0</v>
      </c>
      <c r="CL187" s="320">
        <f t="shared" si="178"/>
        <v>0</v>
      </c>
      <c r="CM187" s="320">
        <f t="shared" si="164"/>
        <v>0</v>
      </c>
      <c r="CN187" s="320">
        <f t="shared" si="165"/>
        <v>0</v>
      </c>
      <c r="CO187" s="320">
        <f t="shared" si="204"/>
        <v>0</v>
      </c>
      <c r="CP187" s="427">
        <v>0</v>
      </c>
      <c r="CQ187" s="427">
        <v>1</v>
      </c>
      <c r="CR187" s="320">
        <f t="shared" si="167"/>
        <v>1</v>
      </c>
      <c r="CS187" s="320">
        <f t="shared" si="176"/>
        <v>0</v>
      </c>
      <c r="CT187" s="320">
        <f t="shared" si="200"/>
        <v>0</v>
      </c>
      <c r="CU187" s="320">
        <f t="shared" si="201"/>
        <v>0</v>
      </c>
      <c r="CV187" s="427">
        <v>1</v>
      </c>
      <c r="CW187" s="17">
        <v>4</v>
      </c>
      <c r="CX187" s="320">
        <f t="shared" si="202"/>
        <v>0</v>
      </c>
      <c r="CY187" s="320">
        <f t="shared" si="168"/>
        <v>0</v>
      </c>
      <c r="CZ187" s="320">
        <f t="shared" si="169"/>
        <v>0</v>
      </c>
      <c r="DA187" s="17">
        <v>1</v>
      </c>
      <c r="DB187" s="17">
        <v>1</v>
      </c>
      <c r="DC187" s="17">
        <v>1</v>
      </c>
      <c r="DD187" s="31"/>
      <c r="DE187" s="352" t="s">
        <v>388</v>
      </c>
      <c r="DF187" s="352" t="s">
        <v>388</v>
      </c>
      <c r="DG187" s="352" t="s">
        <v>388</v>
      </c>
      <c r="DH187" s="352" t="s">
        <v>388</v>
      </c>
      <c r="DI187" s="346" t="s">
        <v>388</v>
      </c>
      <c r="DJ187" s="352" t="s">
        <v>388</v>
      </c>
      <c r="DK187" s="352" t="s">
        <v>388</v>
      </c>
      <c r="DL187" s="352" t="s">
        <v>388</v>
      </c>
      <c r="DM187" s="352" t="s">
        <v>388</v>
      </c>
      <c r="DN187" s="352" t="s">
        <v>388</v>
      </c>
      <c r="DO187" s="352" t="s">
        <v>388</v>
      </c>
      <c r="DP187" s="353">
        <v>1</v>
      </c>
      <c r="DQ187" s="381"/>
      <c r="DR187" s="239">
        <f>SUM(DS187:DX187)/6</f>
        <v>0.1444243156199678</v>
      </c>
      <c r="DS187" s="429">
        <f t="shared" si="170"/>
        <v>0.13043478260869565</v>
      </c>
      <c r="DT187" s="429">
        <f>SUM(BA187:BE187,BG187)/5</f>
        <v>0</v>
      </c>
      <c r="DU187" s="429">
        <f>SUM(BI187,BO187,BS187,BU187:BW187)/6</f>
        <v>0.16666666666666666</v>
      </c>
      <c r="DV187" s="429">
        <f>SUM(BY187-CB187,CD187-CG187)/8</f>
        <v>0.125</v>
      </c>
      <c r="DW187" s="429">
        <f>SUM(CH187:CJ187,CL187:CO187,BN187,BR187)/9</f>
        <v>0.1111111111111111</v>
      </c>
      <c r="DX187" s="429">
        <f>SUM(CP187,CR187:CV187)/6</f>
        <v>0.33333333333333331</v>
      </c>
      <c r="DY187" s="456"/>
      <c r="DZ187" s="135"/>
      <c r="EA187" s="135"/>
      <c r="EB187" s="135"/>
      <c r="EC187" s="135"/>
      <c r="ED187" s="124"/>
      <c r="EH187" s="46"/>
      <c r="EI187" s="45"/>
      <c r="EJ187" s="33" t="b">
        <f t="shared" si="171"/>
        <v>0</v>
      </c>
      <c r="EK187" s="42"/>
      <c r="EL187" s="42"/>
      <c r="EM187" s="42"/>
      <c r="EN187" s="439"/>
      <c r="EO187" s="439"/>
      <c r="EP187" s="439"/>
      <c r="EQ187" s="47"/>
      <c r="ER187" s="67"/>
      <c r="ES187" s="47"/>
      <c r="ET187" s="442"/>
      <c r="EU187" s="78"/>
      <c r="EV187" s="78"/>
      <c r="EZ187" s="393" t="s">
        <v>201</v>
      </c>
      <c r="FA187" s="393" t="s">
        <v>201</v>
      </c>
      <c r="FB187" s="389">
        <v>643</v>
      </c>
      <c r="FC187" s="389">
        <v>837</v>
      </c>
      <c r="FD187" s="389">
        <v>915</v>
      </c>
      <c r="FE187" s="389">
        <v>990</v>
      </c>
      <c r="FF187" s="389">
        <v>1041</v>
      </c>
      <c r="FG187" s="390">
        <v>1.863799283154122E-2</v>
      </c>
      <c r="FH187" s="390">
        <v>1.6393442622950817E-2</v>
      </c>
      <c r="FI187" s="390">
        <v>1.0303030303030303E-2</v>
      </c>
      <c r="FJ187" s="391" t="s">
        <v>1389</v>
      </c>
      <c r="FK187" s="391">
        <v>-0.37151515151515141</v>
      </c>
      <c r="FL187" s="31" t="s">
        <v>1394</v>
      </c>
      <c r="FN187" s="215" t="s">
        <v>1744</v>
      </c>
      <c r="FO187" s="215" t="s">
        <v>1745</v>
      </c>
      <c r="FP187" s="215" t="s">
        <v>1346</v>
      </c>
      <c r="FR187" s="402">
        <v>1</v>
      </c>
      <c r="FS187" s="402">
        <v>0</v>
      </c>
      <c r="FT187" s="402">
        <v>1</v>
      </c>
      <c r="FU187" s="402">
        <v>1</v>
      </c>
    </row>
    <row r="188" spans="1:177" ht="22" customHeight="1" x14ac:dyDescent="0.2">
      <c r="A188" s="13" t="s">
        <v>4</v>
      </c>
      <c r="B188" s="14" t="s">
        <v>21</v>
      </c>
      <c r="C188" s="14"/>
      <c r="D188" s="14"/>
      <c r="E188" s="215" t="s">
        <v>202</v>
      </c>
      <c r="F188" s="15" t="s">
        <v>1355</v>
      </c>
      <c r="G188" s="15" t="s">
        <v>634</v>
      </c>
      <c r="H188" s="91">
        <f t="shared" si="210"/>
        <v>1</v>
      </c>
      <c r="I188" s="95">
        <f t="shared" si="203"/>
        <v>0</v>
      </c>
      <c r="J188" s="91"/>
      <c r="K188" s="256">
        <f t="shared" si="137"/>
        <v>1</v>
      </c>
      <c r="L188" s="257">
        <v>0</v>
      </c>
      <c r="M188" s="154"/>
      <c r="N188" s="155">
        <v>0</v>
      </c>
      <c r="O188" s="158" t="str">
        <f t="shared" si="211"/>
        <v>N/A or not found_x000D__x000D_</v>
      </c>
      <c r="P188" s="98" t="str">
        <f>CONCATENATE(V188,R188,X188)</f>
        <v>N/A or not found_x000D__x000D_</v>
      </c>
      <c r="Q188" s="360" t="s">
        <v>925</v>
      </c>
      <c r="R188" s="64" t="s">
        <v>918</v>
      </c>
      <c r="S188" s="432"/>
      <c r="T188" s="300" t="s">
        <v>1109</v>
      </c>
      <c r="U188" s="300" t="s">
        <v>925</v>
      </c>
      <c r="V188" s="300" t="s">
        <v>925</v>
      </c>
      <c r="W188" s="258"/>
      <c r="X188" s="306" t="s">
        <v>834</v>
      </c>
      <c r="Y188" s="295"/>
      <c r="Z188" s="426" t="s">
        <v>315</v>
      </c>
      <c r="AA188" s="320">
        <f t="shared" si="182"/>
        <v>1</v>
      </c>
      <c r="AB188" s="320">
        <f t="shared" si="183"/>
        <v>0</v>
      </c>
      <c r="AC188" s="320">
        <f t="shared" si="184"/>
        <v>0</v>
      </c>
      <c r="AD188" s="320">
        <f t="shared" si="185"/>
        <v>0</v>
      </c>
      <c r="AE188" s="320">
        <f t="shared" si="186"/>
        <v>1</v>
      </c>
      <c r="AF188" s="320">
        <f t="shared" si="187"/>
        <v>0</v>
      </c>
      <c r="AG188" s="320">
        <f t="shared" si="188"/>
        <v>0</v>
      </c>
      <c r="AH188" s="427">
        <v>0</v>
      </c>
      <c r="AI188" s="320">
        <f t="shared" si="189"/>
        <v>0</v>
      </c>
      <c r="AJ188" s="320">
        <f t="shared" si="190"/>
        <v>0</v>
      </c>
      <c r="AK188" s="320">
        <f t="shared" si="191"/>
        <v>0</v>
      </c>
      <c r="AL188" s="320">
        <f t="shared" si="192"/>
        <v>0</v>
      </c>
      <c r="AM188" s="320">
        <f t="shared" si="193"/>
        <v>0</v>
      </c>
      <c r="AN188" s="320">
        <f t="shared" si="194"/>
        <v>0</v>
      </c>
      <c r="AO188" s="427">
        <v>0</v>
      </c>
      <c r="AP188" s="320">
        <f t="shared" si="173"/>
        <v>0</v>
      </c>
      <c r="AQ188" s="320">
        <f t="shared" si="148"/>
        <v>0</v>
      </c>
      <c r="AR188" s="320">
        <f t="shared" si="149"/>
        <v>0</v>
      </c>
      <c r="AS188" s="320">
        <f t="shared" si="150"/>
        <v>0</v>
      </c>
      <c r="AT188" s="320">
        <f t="shared" si="151"/>
        <v>0</v>
      </c>
      <c r="AU188" s="320">
        <f t="shared" si="152"/>
        <v>0</v>
      </c>
      <c r="AV188" s="427">
        <v>0</v>
      </c>
      <c r="AW188" s="320">
        <f t="shared" si="153"/>
        <v>0</v>
      </c>
      <c r="AX188" s="320">
        <f t="shared" si="154"/>
        <v>0</v>
      </c>
      <c r="AY188" s="320">
        <f t="shared" si="155"/>
        <v>0</v>
      </c>
      <c r="AZ188" s="320">
        <f t="shared" si="156"/>
        <v>0</v>
      </c>
      <c r="BA188" s="17">
        <v>1</v>
      </c>
      <c r="BB188" s="17" t="s">
        <v>1310</v>
      </c>
      <c r="BC188" s="17">
        <v>0</v>
      </c>
      <c r="BD188" s="17">
        <v>0</v>
      </c>
      <c r="BE188" s="17">
        <v>0</v>
      </c>
      <c r="BF188" s="17">
        <v>0</v>
      </c>
      <c r="BG188" s="428">
        <f t="shared" si="195"/>
        <v>0</v>
      </c>
      <c r="BH188" s="17">
        <v>0</v>
      </c>
      <c r="BI188" s="17">
        <v>0</v>
      </c>
      <c r="BJ188" s="17" t="s">
        <v>834</v>
      </c>
      <c r="BK188" s="17">
        <v>0</v>
      </c>
      <c r="BL188" s="17">
        <v>0</v>
      </c>
      <c r="BM188" s="17" t="s">
        <v>834</v>
      </c>
      <c r="BN188" s="320">
        <f t="shared" si="196"/>
        <v>0</v>
      </c>
      <c r="BO188" s="320">
        <f t="shared" si="197"/>
        <v>0</v>
      </c>
      <c r="BP188" s="427">
        <v>0</v>
      </c>
      <c r="BQ188" s="427" t="s">
        <v>834</v>
      </c>
      <c r="BR188" s="320">
        <f t="shared" si="207"/>
        <v>0</v>
      </c>
      <c r="BS188" s="320">
        <f t="shared" si="207"/>
        <v>0</v>
      </c>
      <c r="BT188" s="427">
        <v>0</v>
      </c>
      <c r="BU188" s="320">
        <f t="shared" si="198"/>
        <v>0</v>
      </c>
      <c r="BV188" s="320">
        <f t="shared" si="158"/>
        <v>0</v>
      </c>
      <c r="BW188" s="320">
        <f t="shared" si="175"/>
        <v>0</v>
      </c>
      <c r="BX188" s="427" t="s">
        <v>317</v>
      </c>
      <c r="BY188" s="320">
        <f t="shared" si="208"/>
        <v>1</v>
      </c>
      <c r="BZ188" s="320">
        <f t="shared" si="159"/>
        <v>1</v>
      </c>
      <c r="CA188" s="320">
        <f t="shared" si="206"/>
        <v>0</v>
      </c>
      <c r="CB188" s="320">
        <f t="shared" si="209"/>
        <v>0</v>
      </c>
      <c r="CC188" s="427">
        <v>0</v>
      </c>
      <c r="CD188" s="320">
        <f t="shared" si="160"/>
        <v>0</v>
      </c>
      <c r="CE188" s="320">
        <f t="shared" si="161"/>
        <v>0</v>
      </c>
      <c r="CF188" s="320">
        <f t="shared" si="162"/>
        <v>0</v>
      </c>
      <c r="CG188" s="320">
        <f t="shared" si="163"/>
        <v>0</v>
      </c>
      <c r="CH188" s="427">
        <v>0</v>
      </c>
      <c r="CI188" s="427">
        <v>0</v>
      </c>
      <c r="CJ188" s="427">
        <v>0</v>
      </c>
      <c r="CK188" s="427">
        <v>0</v>
      </c>
      <c r="CL188" s="320">
        <f t="shared" si="178"/>
        <v>0</v>
      </c>
      <c r="CM188" s="320">
        <f t="shared" si="164"/>
        <v>0</v>
      </c>
      <c r="CN188" s="320">
        <f t="shared" si="165"/>
        <v>0</v>
      </c>
      <c r="CO188" s="320">
        <f t="shared" si="204"/>
        <v>0</v>
      </c>
      <c r="CP188" s="427">
        <v>0</v>
      </c>
      <c r="CQ188" s="427">
        <v>0</v>
      </c>
      <c r="CR188" s="320">
        <f t="shared" si="167"/>
        <v>0</v>
      </c>
      <c r="CS188" s="320">
        <f t="shared" si="176"/>
        <v>0</v>
      </c>
      <c r="CT188" s="320">
        <f t="shared" si="200"/>
        <v>0</v>
      </c>
      <c r="CU188" s="320">
        <f t="shared" si="201"/>
        <v>0</v>
      </c>
      <c r="CV188" s="427">
        <v>0</v>
      </c>
      <c r="CW188" s="17">
        <v>4</v>
      </c>
      <c r="CX188" s="320">
        <f t="shared" si="202"/>
        <v>0</v>
      </c>
      <c r="CY188" s="320">
        <f t="shared" si="168"/>
        <v>0</v>
      </c>
      <c r="CZ188" s="320">
        <f t="shared" si="169"/>
        <v>0</v>
      </c>
      <c r="DA188" s="17">
        <v>0</v>
      </c>
      <c r="DB188" s="17">
        <v>0</v>
      </c>
      <c r="DC188" s="17">
        <v>0</v>
      </c>
      <c r="DD188" s="31"/>
      <c r="DE188" s="352" t="s">
        <v>388</v>
      </c>
      <c r="DF188" s="352" t="s">
        <v>388</v>
      </c>
      <c r="DG188" s="352" t="s">
        <v>388</v>
      </c>
      <c r="DH188" s="352" t="s">
        <v>388</v>
      </c>
      <c r="DI188" s="346" t="s">
        <v>388</v>
      </c>
      <c r="DJ188" s="352" t="s">
        <v>388</v>
      </c>
      <c r="DK188" s="352" t="s">
        <v>388</v>
      </c>
      <c r="DL188" s="352" t="s">
        <v>388</v>
      </c>
      <c r="DM188" s="352" t="s">
        <v>388</v>
      </c>
      <c r="DN188" s="352" t="s">
        <v>388</v>
      </c>
      <c r="DO188" s="352" t="s">
        <v>388</v>
      </c>
      <c r="DP188" s="353">
        <v>1</v>
      </c>
      <c r="DQ188" s="381"/>
      <c r="DR188" s="239">
        <f>SUM(DS188:DX188)/6</f>
        <v>6.8659420289855069E-2</v>
      </c>
      <c r="DS188" s="429">
        <f t="shared" si="170"/>
        <v>8.6956521739130432E-2</v>
      </c>
      <c r="DT188" s="429">
        <f>SUM(BA188:BE188,BG188)/5</f>
        <v>0.2</v>
      </c>
      <c r="DU188" s="429">
        <f>SUM(BI188,BO188,BS188,BU188:BW188)/6</f>
        <v>0</v>
      </c>
      <c r="DV188" s="429">
        <f>SUM(BY188-CB188,CD188-CG188)/8</f>
        <v>0.125</v>
      </c>
      <c r="DW188" s="429">
        <f>SUM(CH188:CJ188,CL188:CO188,BN188,BR188)/9</f>
        <v>0</v>
      </c>
      <c r="DX188" s="429">
        <f>SUM(CP188,CR188:CV188)/6</f>
        <v>0</v>
      </c>
      <c r="DY188" s="456"/>
      <c r="DZ188" s="135"/>
      <c r="EA188" s="135"/>
      <c r="EB188" s="135"/>
      <c r="EC188" s="135"/>
      <c r="ED188" s="124"/>
      <c r="EH188" s="44"/>
      <c r="EI188" s="56"/>
      <c r="EJ188" s="33" t="b">
        <f t="shared" si="171"/>
        <v>0</v>
      </c>
      <c r="EK188" s="57"/>
      <c r="EL188" s="57"/>
      <c r="EM188" s="57"/>
      <c r="EN188" s="441"/>
      <c r="EO188" s="441"/>
      <c r="EP188" s="441"/>
      <c r="EQ188" s="62"/>
      <c r="ER188" s="67"/>
      <c r="ES188" s="62"/>
      <c r="ET188" s="442"/>
      <c r="EU188" s="32"/>
      <c r="EV188" s="32"/>
      <c r="EZ188" s="393" t="s">
        <v>202</v>
      </c>
      <c r="FA188" s="393" t="s">
        <v>202</v>
      </c>
      <c r="FB188" s="389">
        <v>9622</v>
      </c>
      <c r="FC188" s="389">
        <v>10183</v>
      </c>
      <c r="FD188" s="389">
        <v>10662</v>
      </c>
      <c r="FE188" s="389">
        <v>11203</v>
      </c>
      <c r="FF188" s="389">
        <v>11715</v>
      </c>
      <c r="FG188" s="390">
        <v>9.4078365903957576E-3</v>
      </c>
      <c r="FH188" s="390">
        <v>1.0148189833051959E-2</v>
      </c>
      <c r="FI188" s="390">
        <v>9.1404088190663209E-3</v>
      </c>
      <c r="FJ188" s="391" t="s">
        <v>1389</v>
      </c>
      <c r="FK188" s="391">
        <v>-9.9306480324536747E-2</v>
      </c>
      <c r="FL188" s="31" t="s">
        <v>1394</v>
      </c>
      <c r="FN188" s="215" t="s">
        <v>1746</v>
      </c>
      <c r="FO188" s="215" t="s">
        <v>1747</v>
      </c>
      <c r="FP188" s="215" t="s">
        <v>1346</v>
      </c>
      <c r="FR188" s="402">
        <v>1</v>
      </c>
      <c r="FS188" s="402">
        <v>0</v>
      </c>
      <c r="FT188" s="402">
        <v>1</v>
      </c>
      <c r="FU188" s="402">
        <v>1</v>
      </c>
    </row>
    <row r="189" spans="1:177" ht="22" hidden="1" customHeight="1" x14ac:dyDescent="0.2">
      <c r="A189" s="13" t="s">
        <v>4</v>
      </c>
      <c r="B189" s="23" t="s">
        <v>118</v>
      </c>
      <c r="C189" s="23"/>
      <c r="D189" s="23"/>
      <c r="E189" s="128" t="s">
        <v>203</v>
      </c>
      <c r="F189" s="15"/>
      <c r="G189" s="15" t="s">
        <v>634</v>
      </c>
      <c r="H189" s="91">
        <f t="shared" si="210"/>
        <v>1</v>
      </c>
      <c r="I189" s="95">
        <f t="shared" si="203"/>
        <v>0</v>
      </c>
      <c r="J189" s="91"/>
      <c r="K189" s="256">
        <f t="shared" si="137"/>
        <v>1</v>
      </c>
      <c r="L189" s="101">
        <v>0</v>
      </c>
      <c r="M189" s="99"/>
      <c r="N189" s="89"/>
      <c r="O189" s="98" t="str">
        <f t="shared" si="211"/>
        <v>_x000D__x000D_</v>
      </c>
      <c r="P189" s="98"/>
      <c r="Q189" s="217"/>
      <c r="R189" s="64" t="s">
        <v>918</v>
      </c>
      <c r="S189" s="492"/>
      <c r="T189" s="300" t="s">
        <v>834</v>
      </c>
      <c r="U189" s="300" t="s">
        <v>834</v>
      </c>
      <c r="V189" s="300" t="s">
        <v>834</v>
      </c>
      <c r="W189" s="258"/>
      <c r="X189" s="307" t="s">
        <v>834</v>
      </c>
      <c r="Y189" s="274"/>
      <c r="Z189" s="426"/>
      <c r="AA189" s="320">
        <f t="shared" si="182"/>
        <v>0</v>
      </c>
      <c r="AB189" s="320">
        <f t="shared" si="183"/>
        <v>0</v>
      </c>
      <c r="AC189" s="320">
        <f t="shared" si="184"/>
        <v>0</v>
      </c>
      <c r="AD189" s="320">
        <f t="shared" si="185"/>
        <v>0</v>
      </c>
      <c r="AE189" s="320">
        <f t="shared" si="186"/>
        <v>0</v>
      </c>
      <c r="AF189" s="320">
        <f t="shared" si="187"/>
        <v>0</v>
      </c>
      <c r="AG189" s="320">
        <f t="shared" si="188"/>
        <v>0</v>
      </c>
      <c r="AH189" s="427"/>
      <c r="AI189" s="320">
        <f t="shared" si="189"/>
        <v>0</v>
      </c>
      <c r="AJ189" s="320">
        <f t="shared" si="190"/>
        <v>0</v>
      </c>
      <c r="AK189" s="320">
        <f t="shared" si="191"/>
        <v>0</v>
      </c>
      <c r="AL189" s="320">
        <f t="shared" si="192"/>
        <v>0</v>
      </c>
      <c r="AM189" s="320">
        <f t="shared" si="193"/>
        <v>0</v>
      </c>
      <c r="AN189" s="320">
        <f t="shared" si="194"/>
        <v>0</v>
      </c>
      <c r="AO189" s="427"/>
      <c r="AP189" s="320">
        <f t="shared" si="173"/>
        <v>0</v>
      </c>
      <c r="AQ189" s="320">
        <f t="shared" si="148"/>
        <v>0</v>
      </c>
      <c r="AR189" s="320">
        <f t="shared" si="149"/>
        <v>0</v>
      </c>
      <c r="AS189" s="320">
        <f t="shared" si="150"/>
        <v>0</v>
      </c>
      <c r="AT189" s="320">
        <f t="shared" si="151"/>
        <v>0</v>
      </c>
      <c r="AU189" s="320">
        <f t="shared" si="152"/>
        <v>0</v>
      </c>
      <c r="AV189" s="427"/>
      <c r="AW189" s="320">
        <f t="shared" si="153"/>
        <v>0</v>
      </c>
      <c r="AX189" s="320">
        <f t="shared" si="154"/>
        <v>0</v>
      </c>
      <c r="AY189" s="320">
        <f t="shared" si="155"/>
        <v>0</v>
      </c>
      <c r="AZ189" s="320">
        <f t="shared" si="156"/>
        <v>0</v>
      </c>
      <c r="BA189" s="17"/>
      <c r="BB189" s="17" t="s">
        <v>834</v>
      </c>
      <c r="BC189" s="17"/>
      <c r="BD189" s="17"/>
      <c r="BE189" s="17"/>
      <c r="BF189" s="17"/>
      <c r="BG189" s="428">
        <f t="shared" si="195"/>
        <v>0</v>
      </c>
      <c r="BH189" s="17"/>
      <c r="BI189" s="17"/>
      <c r="BJ189" s="17"/>
      <c r="BK189" s="17"/>
      <c r="BL189" s="17"/>
      <c r="BM189" s="17"/>
      <c r="BN189" s="320">
        <f t="shared" si="196"/>
        <v>0</v>
      </c>
      <c r="BO189" s="320">
        <f t="shared" si="197"/>
        <v>0</v>
      </c>
      <c r="BP189" s="427"/>
      <c r="BQ189" s="427"/>
      <c r="BR189" s="320">
        <f t="shared" si="207"/>
        <v>0</v>
      </c>
      <c r="BS189" s="320">
        <f t="shared" si="207"/>
        <v>0</v>
      </c>
      <c r="BT189" s="427"/>
      <c r="BU189" s="320">
        <f t="shared" si="198"/>
        <v>0</v>
      </c>
      <c r="BV189" s="320">
        <f t="shared" si="158"/>
        <v>0</v>
      </c>
      <c r="BW189" s="320">
        <f t="shared" si="175"/>
        <v>0</v>
      </c>
      <c r="BX189" s="427"/>
      <c r="BY189" s="320">
        <f t="shared" si="208"/>
        <v>0</v>
      </c>
      <c r="BZ189" s="320">
        <f t="shared" si="159"/>
        <v>0</v>
      </c>
      <c r="CA189" s="320">
        <f t="shared" si="206"/>
        <v>0</v>
      </c>
      <c r="CB189" s="320">
        <f t="shared" si="209"/>
        <v>0</v>
      </c>
      <c r="CC189" s="427"/>
      <c r="CD189" s="320">
        <f t="shared" si="160"/>
        <v>0</v>
      </c>
      <c r="CE189" s="320">
        <f t="shared" si="161"/>
        <v>0</v>
      </c>
      <c r="CF189" s="320">
        <f t="shared" si="162"/>
        <v>0</v>
      </c>
      <c r="CG189" s="320">
        <f t="shared" si="163"/>
        <v>0</v>
      </c>
      <c r="CH189" s="427"/>
      <c r="CI189" s="427"/>
      <c r="CJ189" s="427"/>
      <c r="CK189" s="427"/>
      <c r="CL189" s="320">
        <f t="shared" si="178"/>
        <v>0</v>
      </c>
      <c r="CM189" s="320">
        <f t="shared" si="164"/>
        <v>0</v>
      </c>
      <c r="CN189" s="320">
        <f t="shared" si="165"/>
        <v>0</v>
      </c>
      <c r="CO189" s="320">
        <f t="shared" si="204"/>
        <v>0</v>
      </c>
      <c r="CP189" s="427"/>
      <c r="CQ189" s="427"/>
      <c r="CR189" s="320">
        <f t="shared" si="167"/>
        <v>0</v>
      </c>
      <c r="CS189" s="320">
        <f t="shared" si="176"/>
        <v>0</v>
      </c>
      <c r="CT189" s="320">
        <f t="shared" si="200"/>
        <v>0</v>
      </c>
      <c r="CU189" s="320">
        <f t="shared" si="201"/>
        <v>0</v>
      </c>
      <c r="CV189" s="427"/>
      <c r="CW189" s="17"/>
      <c r="CX189" s="320">
        <f t="shared" si="202"/>
        <v>0</v>
      </c>
      <c r="CY189" s="320">
        <f t="shared" si="168"/>
        <v>0</v>
      </c>
      <c r="CZ189" s="320">
        <f t="shared" si="169"/>
        <v>0</v>
      </c>
      <c r="DA189" s="17"/>
      <c r="DB189" s="17"/>
      <c r="DC189" s="17"/>
      <c r="DD189" s="31"/>
      <c r="DE189" s="321"/>
      <c r="DF189" s="321"/>
      <c r="DG189" s="321"/>
      <c r="DH189" s="321"/>
      <c r="DI189" s="321"/>
      <c r="DJ189" s="321"/>
      <c r="DK189" s="321"/>
      <c r="DL189" s="321"/>
      <c r="DM189" s="321"/>
      <c r="DN189" s="321"/>
      <c r="DO189" s="321"/>
      <c r="DP189" s="322"/>
      <c r="DQ189" s="288"/>
      <c r="DR189" s="241"/>
      <c r="DS189" s="429">
        <f t="shared" si="170"/>
        <v>0</v>
      </c>
      <c r="DT189" s="429"/>
      <c r="DU189" s="429"/>
      <c r="DV189" s="429"/>
      <c r="DW189" s="429"/>
      <c r="DX189" s="429"/>
      <c r="DY189" s="429"/>
      <c r="DZ189" s="134"/>
      <c r="EA189" s="134"/>
      <c r="EB189" s="134"/>
      <c r="EC189" s="134"/>
      <c r="ED189" s="123"/>
      <c r="EH189" s="46"/>
      <c r="EI189" s="56"/>
      <c r="EJ189" s="33" t="b">
        <f t="shared" si="171"/>
        <v>0</v>
      </c>
      <c r="EK189" s="57"/>
      <c r="EL189" s="57"/>
      <c r="EM189" s="57"/>
      <c r="EN189" s="441"/>
      <c r="EO189" s="441"/>
      <c r="EP189" s="441"/>
      <c r="EQ189" s="54"/>
      <c r="ER189" s="67"/>
      <c r="ES189" s="54"/>
      <c r="ET189" s="442"/>
      <c r="EU189" s="32"/>
      <c r="EV189" s="32"/>
      <c r="EZ189" s="393" t="s">
        <v>203</v>
      </c>
      <c r="FA189" s="393" t="s">
        <v>203</v>
      </c>
      <c r="FB189" s="389">
        <v>4127</v>
      </c>
      <c r="FC189" s="389">
        <v>4127</v>
      </c>
      <c r="FD189" s="389">
        <v>4127</v>
      </c>
      <c r="FE189" s="389">
        <v>4127</v>
      </c>
      <c r="FF189" s="389">
        <v>4127</v>
      </c>
      <c r="FG189" s="390">
        <v>0</v>
      </c>
      <c r="FH189" s="390">
        <v>0</v>
      </c>
      <c r="FI189" s="390">
        <v>0</v>
      </c>
      <c r="FJ189" s="391">
        <v>0</v>
      </c>
      <c r="FK189" s="391" t="s">
        <v>1386</v>
      </c>
      <c r="FL189" s="31" t="s">
        <v>1387</v>
      </c>
      <c r="FN189" s="128" t="s">
        <v>1748</v>
      </c>
      <c r="FO189" s="128" t="s">
        <v>1749</v>
      </c>
      <c r="FP189" s="128"/>
    </row>
    <row r="190" spans="1:177" ht="22" hidden="1" customHeight="1" x14ac:dyDescent="0.2">
      <c r="A190" s="13" t="s">
        <v>24</v>
      </c>
      <c r="B190" s="14" t="s">
        <v>67</v>
      </c>
      <c r="C190" s="14"/>
      <c r="D190" s="14"/>
      <c r="E190" s="128" t="s">
        <v>204</v>
      </c>
      <c r="F190" s="15"/>
      <c r="G190" s="15" t="s">
        <v>635</v>
      </c>
      <c r="H190" s="91">
        <f t="shared" si="210"/>
        <v>0</v>
      </c>
      <c r="I190" s="95">
        <f t="shared" si="203"/>
        <v>0</v>
      </c>
      <c r="J190" s="91"/>
      <c r="K190" s="256">
        <f t="shared" si="137"/>
        <v>0</v>
      </c>
      <c r="L190" s="101">
        <v>0</v>
      </c>
      <c r="M190" s="99"/>
      <c r="N190" s="89"/>
      <c r="O190" s="98" t="str">
        <f t="shared" si="211"/>
        <v>_x000D__x000D_</v>
      </c>
      <c r="P190" s="98"/>
      <c r="Q190" s="217"/>
      <c r="R190" s="64" t="s">
        <v>918</v>
      </c>
      <c r="S190" s="492"/>
      <c r="T190" s="300" t="s">
        <v>834</v>
      </c>
      <c r="U190" s="300" t="s">
        <v>834</v>
      </c>
      <c r="V190" s="300" t="s">
        <v>834</v>
      </c>
      <c r="W190" s="258"/>
      <c r="X190" s="307" t="s">
        <v>834</v>
      </c>
      <c r="Y190" s="274"/>
      <c r="Z190" s="426"/>
      <c r="AA190" s="320">
        <f t="shared" si="182"/>
        <v>0</v>
      </c>
      <c r="AB190" s="320">
        <f t="shared" si="183"/>
        <v>0</v>
      </c>
      <c r="AC190" s="320">
        <f t="shared" si="184"/>
        <v>0</v>
      </c>
      <c r="AD190" s="320">
        <f t="shared" si="185"/>
        <v>0</v>
      </c>
      <c r="AE190" s="320">
        <f t="shared" si="186"/>
        <v>0</v>
      </c>
      <c r="AF190" s="320">
        <f t="shared" si="187"/>
        <v>0</v>
      </c>
      <c r="AG190" s="320">
        <f t="shared" si="188"/>
        <v>0</v>
      </c>
      <c r="AH190" s="427"/>
      <c r="AI190" s="320">
        <f t="shared" si="189"/>
        <v>0</v>
      </c>
      <c r="AJ190" s="320">
        <f t="shared" si="190"/>
        <v>0</v>
      </c>
      <c r="AK190" s="320">
        <f t="shared" si="191"/>
        <v>0</v>
      </c>
      <c r="AL190" s="320">
        <f t="shared" si="192"/>
        <v>0</v>
      </c>
      <c r="AM190" s="320">
        <f t="shared" si="193"/>
        <v>0</v>
      </c>
      <c r="AN190" s="320">
        <f t="shared" si="194"/>
        <v>0</v>
      </c>
      <c r="AO190" s="427"/>
      <c r="AP190" s="320">
        <f t="shared" si="173"/>
        <v>0</v>
      </c>
      <c r="AQ190" s="320">
        <f t="shared" si="148"/>
        <v>0</v>
      </c>
      <c r="AR190" s="320">
        <f t="shared" si="149"/>
        <v>0</v>
      </c>
      <c r="AS190" s="320">
        <f t="shared" si="150"/>
        <v>0</v>
      </c>
      <c r="AT190" s="320">
        <f t="shared" si="151"/>
        <v>0</v>
      </c>
      <c r="AU190" s="320">
        <f t="shared" si="152"/>
        <v>0</v>
      </c>
      <c r="AV190" s="427"/>
      <c r="AW190" s="320">
        <f t="shared" si="153"/>
        <v>0</v>
      </c>
      <c r="AX190" s="320">
        <f t="shared" si="154"/>
        <v>0</v>
      </c>
      <c r="AY190" s="320">
        <f t="shared" si="155"/>
        <v>0</v>
      </c>
      <c r="AZ190" s="320">
        <f t="shared" si="156"/>
        <v>0</v>
      </c>
      <c r="BA190" s="17"/>
      <c r="BB190" s="17" t="s">
        <v>834</v>
      </c>
      <c r="BC190" s="17"/>
      <c r="BD190" s="17"/>
      <c r="BE190" s="17"/>
      <c r="BF190" s="17"/>
      <c r="BG190" s="428">
        <f t="shared" si="195"/>
        <v>0</v>
      </c>
      <c r="BH190" s="17"/>
      <c r="BI190" s="17"/>
      <c r="BJ190" s="17"/>
      <c r="BK190" s="17"/>
      <c r="BL190" s="17"/>
      <c r="BM190" s="17"/>
      <c r="BN190" s="320">
        <f t="shared" si="196"/>
        <v>0</v>
      </c>
      <c r="BO190" s="320">
        <f t="shared" si="197"/>
        <v>0</v>
      </c>
      <c r="BP190" s="427"/>
      <c r="BQ190" s="427"/>
      <c r="BR190" s="320">
        <f t="shared" si="207"/>
        <v>0</v>
      </c>
      <c r="BS190" s="320">
        <f t="shared" si="207"/>
        <v>0</v>
      </c>
      <c r="BT190" s="427"/>
      <c r="BU190" s="320">
        <f t="shared" si="198"/>
        <v>0</v>
      </c>
      <c r="BV190" s="320">
        <f t="shared" si="158"/>
        <v>0</v>
      </c>
      <c r="BW190" s="320">
        <f t="shared" si="175"/>
        <v>0</v>
      </c>
      <c r="BX190" s="427"/>
      <c r="BY190" s="320">
        <f t="shared" si="208"/>
        <v>0</v>
      </c>
      <c r="BZ190" s="320">
        <f t="shared" si="159"/>
        <v>0</v>
      </c>
      <c r="CA190" s="320">
        <f t="shared" si="206"/>
        <v>0</v>
      </c>
      <c r="CB190" s="320">
        <f t="shared" si="209"/>
        <v>0</v>
      </c>
      <c r="CC190" s="427"/>
      <c r="CD190" s="320">
        <f t="shared" si="160"/>
        <v>0</v>
      </c>
      <c r="CE190" s="320">
        <f t="shared" si="161"/>
        <v>0</v>
      </c>
      <c r="CF190" s="320">
        <f t="shared" si="162"/>
        <v>0</v>
      </c>
      <c r="CG190" s="320">
        <f t="shared" si="163"/>
        <v>0</v>
      </c>
      <c r="CH190" s="427"/>
      <c r="CI190" s="427"/>
      <c r="CJ190" s="427"/>
      <c r="CK190" s="427"/>
      <c r="CL190" s="320">
        <f t="shared" si="178"/>
        <v>0</v>
      </c>
      <c r="CM190" s="320">
        <f t="shared" si="164"/>
        <v>0</v>
      </c>
      <c r="CN190" s="320">
        <f t="shared" si="165"/>
        <v>0</v>
      </c>
      <c r="CO190" s="320">
        <f t="shared" si="204"/>
        <v>0</v>
      </c>
      <c r="CP190" s="427"/>
      <c r="CQ190" s="427"/>
      <c r="CR190" s="320">
        <f t="shared" si="167"/>
        <v>0</v>
      </c>
      <c r="CS190" s="320">
        <f t="shared" si="176"/>
        <v>0</v>
      </c>
      <c r="CT190" s="320">
        <f t="shared" si="200"/>
        <v>0</v>
      </c>
      <c r="CU190" s="320">
        <f t="shared" si="201"/>
        <v>0</v>
      </c>
      <c r="CV190" s="427"/>
      <c r="CW190" s="17"/>
      <c r="CX190" s="320">
        <f t="shared" si="202"/>
        <v>0</v>
      </c>
      <c r="CY190" s="320">
        <f t="shared" si="168"/>
        <v>0</v>
      </c>
      <c r="CZ190" s="320">
        <f t="shared" si="169"/>
        <v>0</v>
      </c>
      <c r="DA190" s="17"/>
      <c r="DB190" s="17"/>
      <c r="DC190" s="17"/>
      <c r="DD190" s="31"/>
      <c r="DE190" s="323"/>
      <c r="DF190" s="323"/>
      <c r="DG190" s="323"/>
      <c r="DH190" s="323"/>
      <c r="DI190" s="323"/>
      <c r="DJ190" s="323"/>
      <c r="DK190" s="323"/>
      <c r="DL190" s="323"/>
      <c r="DM190" s="323"/>
      <c r="DN190" s="323"/>
      <c r="DO190" s="323"/>
      <c r="DP190" s="324"/>
      <c r="DQ190" s="288"/>
      <c r="DR190" s="242"/>
      <c r="DS190" s="429">
        <f t="shared" si="170"/>
        <v>0</v>
      </c>
      <c r="DT190" s="429"/>
      <c r="DU190" s="429"/>
      <c r="DV190" s="429"/>
      <c r="DW190" s="429"/>
      <c r="DX190" s="429"/>
      <c r="DY190" s="429"/>
      <c r="DZ190" s="134"/>
      <c r="EA190" s="134"/>
      <c r="EB190" s="134"/>
      <c r="EC190" s="134"/>
      <c r="ED190" s="123"/>
      <c r="EH190" s="44"/>
      <c r="EI190" s="45"/>
      <c r="EJ190" s="33" t="b">
        <f t="shared" si="171"/>
        <v>0</v>
      </c>
      <c r="EK190" s="42"/>
      <c r="EL190" s="42"/>
      <c r="EM190" s="42"/>
      <c r="EN190" s="439"/>
      <c r="EO190" s="439"/>
      <c r="EP190" s="439"/>
      <c r="EQ190" s="38"/>
      <c r="ER190" s="67"/>
      <c r="ES190" s="38"/>
      <c r="ET190" s="442"/>
      <c r="EU190" s="78"/>
      <c r="EV190" s="78"/>
      <c r="EZ190" s="393" t="s">
        <v>204</v>
      </c>
      <c r="FA190" s="393" t="s">
        <v>204</v>
      </c>
      <c r="FB190" s="389">
        <v>1</v>
      </c>
      <c r="FC190" s="389">
        <v>1</v>
      </c>
      <c r="FD190" s="389">
        <v>1</v>
      </c>
      <c r="FE190" s="389">
        <v>1</v>
      </c>
      <c r="FF190" s="389">
        <v>1</v>
      </c>
      <c r="FG190" s="390">
        <v>0</v>
      </c>
      <c r="FH190" s="390">
        <v>0</v>
      </c>
      <c r="FI190" s="390">
        <v>0</v>
      </c>
      <c r="FJ190" s="391">
        <v>0</v>
      </c>
      <c r="FK190" s="391" t="s">
        <v>1386</v>
      </c>
      <c r="FL190" s="31" t="s">
        <v>1387</v>
      </c>
      <c r="FN190" s="128" t="s">
        <v>1750</v>
      </c>
      <c r="FO190" s="128" t="s">
        <v>1751</v>
      </c>
      <c r="FP190" s="128"/>
    </row>
    <row r="191" spans="1:177" ht="22" hidden="1" customHeight="1" x14ac:dyDescent="0.2">
      <c r="A191" s="13" t="s">
        <v>10</v>
      </c>
      <c r="B191" s="14" t="s">
        <v>51</v>
      </c>
      <c r="C191" s="14"/>
      <c r="D191" s="14"/>
      <c r="E191" s="129" t="s">
        <v>205</v>
      </c>
      <c r="F191" s="15"/>
      <c r="G191" s="15" t="s">
        <v>635</v>
      </c>
      <c r="H191" s="91">
        <f t="shared" si="210"/>
        <v>0</v>
      </c>
      <c r="I191" s="95">
        <f t="shared" si="203"/>
        <v>2</v>
      </c>
      <c r="J191" s="91"/>
      <c r="K191" s="256">
        <f t="shared" si="137"/>
        <v>2</v>
      </c>
      <c r="L191" s="101" t="s">
        <v>640</v>
      </c>
      <c r="M191" s="25"/>
      <c r="N191" s="106">
        <v>2500000</v>
      </c>
      <c r="O191" s="98" t="str">
        <f t="shared" si="211"/>
        <v>_x000D__x000D_</v>
      </c>
      <c r="P191" s="98"/>
      <c r="Q191" s="217"/>
      <c r="R191" s="64" t="s">
        <v>918</v>
      </c>
      <c r="S191" s="492"/>
      <c r="T191" s="300" t="s">
        <v>863</v>
      </c>
      <c r="U191" s="300" t="s">
        <v>255</v>
      </c>
      <c r="V191" s="300" t="s">
        <v>834</v>
      </c>
      <c r="W191" s="258"/>
      <c r="X191" s="307" t="s">
        <v>834</v>
      </c>
      <c r="Y191" s="274"/>
      <c r="Z191" s="426"/>
      <c r="AA191" s="320">
        <f t="shared" si="182"/>
        <v>0</v>
      </c>
      <c r="AB191" s="320">
        <f t="shared" si="183"/>
        <v>0</v>
      </c>
      <c r="AC191" s="320">
        <f t="shared" si="184"/>
        <v>0</v>
      </c>
      <c r="AD191" s="320">
        <f t="shared" si="185"/>
        <v>0</v>
      </c>
      <c r="AE191" s="320">
        <f t="shared" si="186"/>
        <v>0</v>
      </c>
      <c r="AF191" s="320">
        <f t="shared" si="187"/>
        <v>0</v>
      </c>
      <c r="AG191" s="320">
        <f t="shared" si="188"/>
        <v>0</v>
      </c>
      <c r="AH191" s="427"/>
      <c r="AI191" s="320">
        <f t="shared" si="189"/>
        <v>0</v>
      </c>
      <c r="AJ191" s="320">
        <f t="shared" si="190"/>
        <v>0</v>
      </c>
      <c r="AK191" s="320">
        <f t="shared" si="191"/>
        <v>0</v>
      </c>
      <c r="AL191" s="320">
        <f t="shared" si="192"/>
        <v>0</v>
      </c>
      <c r="AM191" s="320">
        <f t="shared" si="193"/>
        <v>0</v>
      </c>
      <c r="AN191" s="320">
        <f t="shared" si="194"/>
        <v>0</v>
      </c>
      <c r="AO191" s="427"/>
      <c r="AP191" s="320">
        <f t="shared" si="173"/>
        <v>0</v>
      </c>
      <c r="AQ191" s="320">
        <f t="shared" si="148"/>
        <v>0</v>
      </c>
      <c r="AR191" s="320">
        <f t="shared" si="149"/>
        <v>0</v>
      </c>
      <c r="AS191" s="320">
        <f t="shared" si="150"/>
        <v>0</v>
      </c>
      <c r="AT191" s="320">
        <f t="shared" si="151"/>
        <v>0</v>
      </c>
      <c r="AU191" s="320">
        <f t="shared" si="152"/>
        <v>0</v>
      </c>
      <c r="AV191" s="427"/>
      <c r="AW191" s="320">
        <f t="shared" si="153"/>
        <v>0</v>
      </c>
      <c r="AX191" s="320">
        <f t="shared" si="154"/>
        <v>0</v>
      </c>
      <c r="AY191" s="320">
        <f t="shared" si="155"/>
        <v>0</v>
      </c>
      <c r="AZ191" s="320">
        <f t="shared" si="156"/>
        <v>0</v>
      </c>
      <c r="BA191" s="17">
        <v>1</v>
      </c>
      <c r="BB191" s="17" t="s">
        <v>863</v>
      </c>
      <c r="BC191" s="17"/>
      <c r="BD191" s="17"/>
      <c r="BE191" s="17"/>
      <c r="BF191" s="17"/>
      <c r="BG191" s="428">
        <f t="shared" si="195"/>
        <v>0</v>
      </c>
      <c r="BH191" s="17"/>
      <c r="BI191" s="17" t="s">
        <v>255</v>
      </c>
      <c r="BJ191" s="17"/>
      <c r="BK191" s="17"/>
      <c r="BL191" s="17"/>
      <c r="BM191" s="17"/>
      <c r="BN191" s="320">
        <f t="shared" si="196"/>
        <v>0</v>
      </c>
      <c r="BO191" s="320">
        <f t="shared" si="197"/>
        <v>0</v>
      </c>
      <c r="BP191" s="427"/>
      <c r="BQ191" s="427"/>
      <c r="BR191" s="320">
        <f t="shared" si="207"/>
        <v>0</v>
      </c>
      <c r="BS191" s="320">
        <f t="shared" si="207"/>
        <v>0</v>
      </c>
      <c r="BT191" s="427"/>
      <c r="BU191" s="320">
        <f t="shared" si="198"/>
        <v>0</v>
      </c>
      <c r="BV191" s="320">
        <f t="shared" si="158"/>
        <v>0</v>
      </c>
      <c r="BW191" s="320">
        <f t="shared" si="175"/>
        <v>0</v>
      </c>
      <c r="BX191" s="427"/>
      <c r="BY191" s="320">
        <f t="shared" si="208"/>
        <v>0</v>
      </c>
      <c r="BZ191" s="320">
        <f t="shared" si="159"/>
        <v>0</v>
      </c>
      <c r="CA191" s="320">
        <f t="shared" si="206"/>
        <v>0</v>
      </c>
      <c r="CB191" s="320">
        <f t="shared" si="209"/>
        <v>0</v>
      </c>
      <c r="CC191" s="427"/>
      <c r="CD191" s="320">
        <f t="shared" si="160"/>
        <v>0</v>
      </c>
      <c r="CE191" s="320">
        <f t="shared" si="161"/>
        <v>0</v>
      </c>
      <c r="CF191" s="320">
        <f t="shared" si="162"/>
        <v>0</v>
      </c>
      <c r="CG191" s="320">
        <f t="shared" si="163"/>
        <v>0</v>
      </c>
      <c r="CH191" s="427"/>
      <c r="CI191" s="427"/>
      <c r="CJ191" s="427"/>
      <c r="CK191" s="427"/>
      <c r="CL191" s="320">
        <f t="shared" si="178"/>
        <v>0</v>
      </c>
      <c r="CM191" s="320">
        <f t="shared" si="164"/>
        <v>0</v>
      </c>
      <c r="CN191" s="320">
        <f t="shared" si="165"/>
        <v>0</v>
      </c>
      <c r="CO191" s="320">
        <f t="shared" si="204"/>
        <v>0</v>
      </c>
      <c r="CP191" s="427"/>
      <c r="CQ191" s="427"/>
      <c r="CR191" s="320">
        <f t="shared" si="167"/>
        <v>0</v>
      </c>
      <c r="CS191" s="320">
        <f t="shared" si="176"/>
        <v>0</v>
      </c>
      <c r="CT191" s="320">
        <f t="shared" si="200"/>
        <v>0</v>
      </c>
      <c r="CU191" s="320">
        <f t="shared" si="201"/>
        <v>0</v>
      </c>
      <c r="CV191" s="427"/>
      <c r="CW191" s="17"/>
      <c r="CX191" s="320">
        <f t="shared" si="202"/>
        <v>0</v>
      </c>
      <c r="CY191" s="320">
        <f t="shared" si="168"/>
        <v>0</v>
      </c>
      <c r="CZ191" s="320">
        <f t="shared" si="169"/>
        <v>0</v>
      </c>
      <c r="DA191" s="17"/>
      <c r="DB191" s="17"/>
      <c r="DC191" s="17"/>
      <c r="DD191" s="31"/>
      <c r="DE191" s="321"/>
      <c r="DF191" s="321"/>
      <c r="DG191" s="321"/>
      <c r="DH191" s="321"/>
      <c r="DI191" s="321"/>
      <c r="DJ191" s="321"/>
      <c r="DK191" s="321"/>
      <c r="DL191" s="321"/>
      <c r="DM191" s="321"/>
      <c r="DN191" s="321"/>
      <c r="DO191" s="321"/>
      <c r="DP191" s="322"/>
      <c r="DQ191" s="288"/>
      <c r="DR191" s="243"/>
      <c r="DS191" s="429">
        <f t="shared" si="170"/>
        <v>0</v>
      </c>
      <c r="DT191" s="429"/>
      <c r="DU191" s="429"/>
      <c r="DV191" s="429"/>
      <c r="DW191" s="429"/>
      <c r="DX191" s="429"/>
      <c r="DY191" s="444"/>
      <c r="DZ191" s="134"/>
      <c r="EA191" s="134"/>
      <c r="EB191" s="134"/>
      <c r="EC191" s="134"/>
      <c r="ED191" s="123"/>
      <c r="EH191" s="46">
        <v>0</v>
      </c>
      <c r="EI191" s="45"/>
      <c r="EJ191" s="33" t="e">
        <f t="shared" si="171"/>
        <v>#VALUE!</v>
      </c>
      <c r="EK191" s="42"/>
      <c r="EL191" s="42"/>
      <c r="EM191" s="42"/>
      <c r="EN191" s="439"/>
      <c r="EO191" s="439"/>
      <c r="EP191" s="439"/>
      <c r="EQ191" s="47"/>
      <c r="ER191" s="43">
        <v>1</v>
      </c>
      <c r="ES191" s="47"/>
      <c r="ET191" s="442"/>
      <c r="EU191" s="78"/>
      <c r="EV191" s="78"/>
      <c r="EZ191" s="393" t="s">
        <v>205</v>
      </c>
      <c r="FA191" s="393" t="s">
        <v>205</v>
      </c>
      <c r="FB191" s="389">
        <v>4751</v>
      </c>
      <c r="FC191" s="389">
        <v>3869</v>
      </c>
      <c r="FD191" s="389">
        <v>3429</v>
      </c>
      <c r="FE191" s="389">
        <v>2753</v>
      </c>
      <c r="FF191" s="389">
        <v>2077</v>
      </c>
      <c r="FG191" s="390">
        <v>-2.2744895321788576E-2</v>
      </c>
      <c r="FH191" s="390">
        <v>-3.9428404782735495E-2</v>
      </c>
      <c r="FI191" s="390">
        <v>-4.9110061750817294E-2</v>
      </c>
      <c r="FJ191" s="391">
        <v>0.24555030875408643</v>
      </c>
      <c r="FK191" s="391" t="s">
        <v>1386</v>
      </c>
      <c r="FL191" s="31" t="s">
        <v>1379</v>
      </c>
      <c r="FN191" s="129" t="s">
        <v>1752</v>
      </c>
      <c r="FO191" s="129" t="s">
        <v>1753</v>
      </c>
      <c r="FP191" s="129"/>
    </row>
    <row r="192" spans="1:177" ht="22" hidden="1" customHeight="1" x14ac:dyDescent="0.2">
      <c r="A192" s="13" t="s">
        <v>7</v>
      </c>
      <c r="B192" s="14" t="s">
        <v>34</v>
      </c>
      <c r="C192" s="14"/>
      <c r="D192" s="14"/>
      <c r="E192" s="128" t="s">
        <v>206</v>
      </c>
      <c r="F192" s="15"/>
      <c r="G192" s="15" t="s">
        <v>634</v>
      </c>
      <c r="H192" s="91">
        <f t="shared" si="210"/>
        <v>1</v>
      </c>
      <c r="I192" s="95">
        <f t="shared" si="203"/>
        <v>0</v>
      </c>
      <c r="J192" s="91"/>
      <c r="K192" s="256">
        <f t="shared" si="137"/>
        <v>1</v>
      </c>
      <c r="L192" s="101">
        <v>0</v>
      </c>
      <c r="M192" s="99"/>
      <c r="N192" s="89"/>
      <c r="O192" s="98" t="str">
        <f t="shared" si="211"/>
        <v>_x000D__x000D_</v>
      </c>
      <c r="P192" s="98"/>
      <c r="Q192" s="217"/>
      <c r="R192" s="64" t="s">
        <v>918</v>
      </c>
      <c r="S192" s="492"/>
      <c r="T192" s="300" t="s">
        <v>834</v>
      </c>
      <c r="U192" s="300" t="s">
        <v>834</v>
      </c>
      <c r="V192" s="300" t="s">
        <v>834</v>
      </c>
      <c r="W192" s="258"/>
      <c r="X192" s="307" t="s">
        <v>834</v>
      </c>
      <c r="Y192" s="274"/>
      <c r="Z192" s="426"/>
      <c r="AA192" s="320">
        <f t="shared" si="182"/>
        <v>0</v>
      </c>
      <c r="AB192" s="320">
        <f t="shared" si="183"/>
        <v>0</v>
      </c>
      <c r="AC192" s="320">
        <f t="shared" si="184"/>
        <v>0</v>
      </c>
      <c r="AD192" s="320">
        <f t="shared" si="185"/>
        <v>0</v>
      </c>
      <c r="AE192" s="320">
        <f t="shared" si="186"/>
        <v>0</v>
      </c>
      <c r="AF192" s="320">
        <f t="shared" si="187"/>
        <v>0</v>
      </c>
      <c r="AG192" s="320">
        <f t="shared" si="188"/>
        <v>0</v>
      </c>
      <c r="AH192" s="427"/>
      <c r="AI192" s="320">
        <f t="shared" si="189"/>
        <v>0</v>
      </c>
      <c r="AJ192" s="320">
        <f t="shared" si="190"/>
        <v>0</v>
      </c>
      <c r="AK192" s="320">
        <f t="shared" si="191"/>
        <v>0</v>
      </c>
      <c r="AL192" s="320">
        <f t="shared" si="192"/>
        <v>0</v>
      </c>
      <c r="AM192" s="320">
        <f t="shared" si="193"/>
        <v>0</v>
      </c>
      <c r="AN192" s="320">
        <f t="shared" si="194"/>
        <v>0</v>
      </c>
      <c r="AO192" s="427"/>
      <c r="AP192" s="320">
        <f t="shared" si="173"/>
        <v>0</v>
      </c>
      <c r="AQ192" s="320">
        <f t="shared" si="148"/>
        <v>0</v>
      </c>
      <c r="AR192" s="320">
        <f t="shared" si="149"/>
        <v>0</v>
      </c>
      <c r="AS192" s="320">
        <f t="shared" si="150"/>
        <v>0</v>
      </c>
      <c r="AT192" s="320">
        <f t="shared" si="151"/>
        <v>0</v>
      </c>
      <c r="AU192" s="320">
        <f t="shared" si="152"/>
        <v>0</v>
      </c>
      <c r="AV192" s="427"/>
      <c r="AW192" s="320">
        <f t="shared" si="153"/>
        <v>0</v>
      </c>
      <c r="AX192" s="320">
        <f t="shared" si="154"/>
        <v>0</v>
      </c>
      <c r="AY192" s="320">
        <f t="shared" si="155"/>
        <v>0</v>
      </c>
      <c r="AZ192" s="320">
        <f t="shared" si="156"/>
        <v>0</v>
      </c>
      <c r="BA192" s="17"/>
      <c r="BB192" s="17" t="s">
        <v>834</v>
      </c>
      <c r="BC192" s="17"/>
      <c r="BD192" s="17"/>
      <c r="BE192" s="17"/>
      <c r="BF192" s="17"/>
      <c r="BG192" s="428">
        <f t="shared" si="195"/>
        <v>0</v>
      </c>
      <c r="BH192" s="17"/>
      <c r="BI192" s="17"/>
      <c r="BJ192" s="17"/>
      <c r="BK192" s="17"/>
      <c r="BL192" s="17"/>
      <c r="BM192" s="17"/>
      <c r="BN192" s="320">
        <f t="shared" si="196"/>
        <v>0</v>
      </c>
      <c r="BO192" s="320">
        <f t="shared" si="197"/>
        <v>0</v>
      </c>
      <c r="BP192" s="427"/>
      <c r="BQ192" s="427"/>
      <c r="BR192" s="320">
        <f t="shared" si="207"/>
        <v>0</v>
      </c>
      <c r="BS192" s="320">
        <f t="shared" si="207"/>
        <v>0</v>
      </c>
      <c r="BT192" s="427"/>
      <c r="BU192" s="320">
        <f t="shared" si="198"/>
        <v>0</v>
      </c>
      <c r="BV192" s="320">
        <f t="shared" si="158"/>
        <v>0</v>
      </c>
      <c r="BW192" s="320">
        <f t="shared" si="175"/>
        <v>0</v>
      </c>
      <c r="BX192" s="427"/>
      <c r="BY192" s="320">
        <f t="shared" si="208"/>
        <v>0</v>
      </c>
      <c r="BZ192" s="320">
        <f t="shared" si="159"/>
        <v>0</v>
      </c>
      <c r="CA192" s="320">
        <f t="shared" si="206"/>
        <v>0</v>
      </c>
      <c r="CB192" s="320">
        <f t="shared" si="209"/>
        <v>0</v>
      </c>
      <c r="CC192" s="427"/>
      <c r="CD192" s="320">
        <f t="shared" si="160"/>
        <v>0</v>
      </c>
      <c r="CE192" s="320">
        <f t="shared" si="161"/>
        <v>0</v>
      </c>
      <c r="CF192" s="320">
        <f t="shared" si="162"/>
        <v>0</v>
      </c>
      <c r="CG192" s="320">
        <f t="shared" si="163"/>
        <v>0</v>
      </c>
      <c r="CH192" s="427"/>
      <c r="CI192" s="427"/>
      <c r="CJ192" s="427"/>
      <c r="CK192" s="427"/>
      <c r="CL192" s="320">
        <f t="shared" si="178"/>
        <v>0</v>
      </c>
      <c r="CM192" s="320">
        <f t="shared" si="164"/>
        <v>0</v>
      </c>
      <c r="CN192" s="320">
        <f t="shared" si="165"/>
        <v>0</v>
      </c>
      <c r="CO192" s="320">
        <f t="shared" si="204"/>
        <v>0</v>
      </c>
      <c r="CP192" s="427"/>
      <c r="CQ192" s="427"/>
      <c r="CR192" s="320">
        <f t="shared" si="167"/>
        <v>0</v>
      </c>
      <c r="CS192" s="320">
        <f t="shared" si="176"/>
        <v>0</v>
      </c>
      <c r="CT192" s="320">
        <f t="shared" si="200"/>
        <v>0</v>
      </c>
      <c r="CU192" s="320">
        <f t="shared" si="201"/>
        <v>0</v>
      </c>
      <c r="CV192" s="427"/>
      <c r="CW192" s="17"/>
      <c r="CX192" s="320">
        <f t="shared" si="202"/>
        <v>0</v>
      </c>
      <c r="CY192" s="320">
        <f t="shared" si="168"/>
        <v>0</v>
      </c>
      <c r="CZ192" s="320">
        <f t="shared" si="169"/>
        <v>0</v>
      </c>
      <c r="DA192" s="17"/>
      <c r="DB192" s="17"/>
      <c r="DC192" s="17"/>
      <c r="DD192" s="31"/>
      <c r="DE192" s="323"/>
      <c r="DF192" s="323"/>
      <c r="DG192" s="323"/>
      <c r="DH192" s="323"/>
      <c r="DI192" s="323"/>
      <c r="DJ192" s="323"/>
      <c r="DK192" s="323"/>
      <c r="DL192" s="323"/>
      <c r="DM192" s="323"/>
      <c r="DN192" s="323"/>
      <c r="DO192" s="323"/>
      <c r="DP192" s="324"/>
      <c r="DQ192" s="288"/>
      <c r="DR192" s="242"/>
      <c r="DS192" s="429">
        <f t="shared" si="170"/>
        <v>0</v>
      </c>
      <c r="DT192" s="429"/>
      <c r="DU192" s="429"/>
      <c r="DV192" s="429"/>
      <c r="DW192" s="429"/>
      <c r="DX192" s="429"/>
      <c r="DY192" s="429"/>
      <c r="DZ192" s="134"/>
      <c r="EA192" s="134"/>
      <c r="EB192" s="134"/>
      <c r="EC192" s="134"/>
      <c r="ED192" s="123"/>
      <c r="EH192" s="44"/>
      <c r="EI192" s="56"/>
      <c r="EJ192" s="33" t="b">
        <f t="shared" si="171"/>
        <v>0</v>
      </c>
      <c r="EK192" s="57"/>
      <c r="EL192" s="57"/>
      <c r="EM192" s="57"/>
      <c r="EN192" s="441"/>
      <c r="EO192" s="441"/>
      <c r="EP192" s="441"/>
      <c r="EQ192" s="62"/>
      <c r="ER192" s="67"/>
      <c r="ES192" s="62"/>
      <c r="ET192" s="442"/>
      <c r="EU192" s="32"/>
      <c r="EV192" s="32"/>
      <c r="EZ192" s="393" t="s">
        <v>206</v>
      </c>
      <c r="FA192" s="393" t="s">
        <v>206</v>
      </c>
      <c r="FB192" s="389">
        <v>9274</v>
      </c>
      <c r="FC192" s="389">
        <v>9510</v>
      </c>
      <c r="FD192" s="389">
        <v>9575</v>
      </c>
      <c r="FE192" s="389">
        <v>9548</v>
      </c>
      <c r="FF192" s="389">
        <v>9657</v>
      </c>
      <c r="FG192" s="390">
        <v>1.3669821240799159E-3</v>
      </c>
      <c r="FH192" s="390">
        <v>-5.6396866840731071E-4</v>
      </c>
      <c r="FI192" s="390">
        <v>2.2832006702974443E-3</v>
      </c>
      <c r="FJ192" s="391">
        <v>-5.0484530403885239</v>
      </c>
      <c r="FK192" s="391" t="s">
        <v>1386</v>
      </c>
      <c r="FL192" s="31" t="s">
        <v>1393</v>
      </c>
      <c r="FN192" s="128" t="s">
        <v>1754</v>
      </c>
      <c r="FO192" s="128" t="s">
        <v>1755</v>
      </c>
      <c r="FP192" s="128"/>
    </row>
    <row r="193" spans="1:177" ht="22" hidden="1" customHeight="1" x14ac:dyDescent="0.2">
      <c r="A193" s="13" t="s">
        <v>4</v>
      </c>
      <c r="B193" s="14" t="s">
        <v>21</v>
      </c>
      <c r="C193" s="14"/>
      <c r="D193" s="14"/>
      <c r="E193" s="128" t="s">
        <v>207</v>
      </c>
      <c r="F193" s="15"/>
      <c r="G193" s="15" t="s">
        <v>635</v>
      </c>
      <c r="H193" s="91">
        <f t="shared" si="210"/>
        <v>0</v>
      </c>
      <c r="I193" s="95">
        <f t="shared" si="203"/>
        <v>0</v>
      </c>
      <c r="J193" s="91"/>
      <c r="K193" s="256">
        <f t="shared" si="137"/>
        <v>0</v>
      </c>
      <c r="L193" s="101">
        <v>0</v>
      </c>
      <c r="M193" s="99"/>
      <c r="N193" s="89"/>
      <c r="O193" s="98" t="str">
        <f t="shared" si="211"/>
        <v>_x000D__x000D_</v>
      </c>
      <c r="P193" s="98"/>
      <c r="Q193" s="217"/>
      <c r="R193" s="64" t="s">
        <v>918</v>
      </c>
      <c r="S193" s="492"/>
      <c r="T193" s="300" t="s">
        <v>886</v>
      </c>
      <c r="U193" s="300" t="s">
        <v>834</v>
      </c>
      <c r="V193" s="300" t="s">
        <v>834</v>
      </c>
      <c r="W193" s="258"/>
      <c r="X193" s="307" t="s">
        <v>834</v>
      </c>
      <c r="Y193" s="274"/>
      <c r="Z193" s="426"/>
      <c r="AA193" s="320">
        <f t="shared" si="182"/>
        <v>0</v>
      </c>
      <c r="AB193" s="320">
        <f t="shared" si="183"/>
        <v>0</v>
      </c>
      <c r="AC193" s="320">
        <f t="shared" si="184"/>
        <v>0</v>
      </c>
      <c r="AD193" s="320">
        <f t="shared" si="185"/>
        <v>0</v>
      </c>
      <c r="AE193" s="320">
        <f t="shared" si="186"/>
        <v>0</v>
      </c>
      <c r="AF193" s="320">
        <f t="shared" si="187"/>
        <v>0</v>
      </c>
      <c r="AG193" s="320">
        <f t="shared" si="188"/>
        <v>0</v>
      </c>
      <c r="AH193" s="427"/>
      <c r="AI193" s="320">
        <f t="shared" si="189"/>
        <v>0</v>
      </c>
      <c r="AJ193" s="320">
        <f t="shared" si="190"/>
        <v>0</v>
      </c>
      <c r="AK193" s="320">
        <f t="shared" si="191"/>
        <v>0</v>
      </c>
      <c r="AL193" s="320">
        <f t="shared" si="192"/>
        <v>0</v>
      </c>
      <c r="AM193" s="320">
        <f t="shared" si="193"/>
        <v>0</v>
      </c>
      <c r="AN193" s="320">
        <f t="shared" si="194"/>
        <v>0</v>
      </c>
      <c r="AO193" s="427"/>
      <c r="AP193" s="320">
        <f t="shared" si="173"/>
        <v>0</v>
      </c>
      <c r="AQ193" s="320">
        <f t="shared" si="148"/>
        <v>0</v>
      </c>
      <c r="AR193" s="320">
        <f t="shared" si="149"/>
        <v>0</v>
      </c>
      <c r="AS193" s="320">
        <f t="shared" si="150"/>
        <v>0</v>
      </c>
      <c r="AT193" s="320">
        <f t="shared" si="151"/>
        <v>0</v>
      </c>
      <c r="AU193" s="320">
        <f t="shared" si="152"/>
        <v>0</v>
      </c>
      <c r="AV193" s="427"/>
      <c r="AW193" s="320">
        <f t="shared" si="153"/>
        <v>0</v>
      </c>
      <c r="AX193" s="320">
        <f t="shared" si="154"/>
        <v>0</v>
      </c>
      <c r="AY193" s="320">
        <f t="shared" si="155"/>
        <v>0</v>
      </c>
      <c r="AZ193" s="320">
        <f t="shared" si="156"/>
        <v>0</v>
      </c>
      <c r="BA193" s="17">
        <v>1</v>
      </c>
      <c r="BB193" s="17" t="s">
        <v>886</v>
      </c>
      <c r="BC193" s="17"/>
      <c r="BD193" s="17"/>
      <c r="BE193" s="17"/>
      <c r="BF193" s="17"/>
      <c r="BG193" s="428">
        <f t="shared" si="195"/>
        <v>0</v>
      </c>
      <c r="BH193" s="17"/>
      <c r="BI193" s="17"/>
      <c r="BJ193" s="17"/>
      <c r="BK193" s="17"/>
      <c r="BL193" s="17"/>
      <c r="BM193" s="17"/>
      <c r="BN193" s="320">
        <f t="shared" si="196"/>
        <v>0</v>
      </c>
      <c r="BO193" s="320">
        <f t="shared" si="197"/>
        <v>0</v>
      </c>
      <c r="BP193" s="427"/>
      <c r="BQ193" s="427"/>
      <c r="BR193" s="320">
        <f t="shared" si="207"/>
        <v>0</v>
      </c>
      <c r="BS193" s="320">
        <f t="shared" si="207"/>
        <v>0</v>
      </c>
      <c r="BT193" s="427"/>
      <c r="BU193" s="320">
        <f t="shared" si="198"/>
        <v>0</v>
      </c>
      <c r="BV193" s="320">
        <f t="shared" si="158"/>
        <v>0</v>
      </c>
      <c r="BW193" s="320">
        <f t="shared" si="175"/>
        <v>0</v>
      </c>
      <c r="BX193" s="427"/>
      <c r="BY193" s="320">
        <f t="shared" si="208"/>
        <v>0</v>
      </c>
      <c r="BZ193" s="320">
        <f t="shared" si="159"/>
        <v>0</v>
      </c>
      <c r="CA193" s="320">
        <f t="shared" si="206"/>
        <v>0</v>
      </c>
      <c r="CB193" s="320">
        <f t="shared" si="209"/>
        <v>0</v>
      </c>
      <c r="CC193" s="427"/>
      <c r="CD193" s="320">
        <f t="shared" si="160"/>
        <v>0</v>
      </c>
      <c r="CE193" s="320">
        <f t="shared" si="161"/>
        <v>0</v>
      </c>
      <c r="CF193" s="320">
        <f t="shared" si="162"/>
        <v>0</v>
      </c>
      <c r="CG193" s="320">
        <f t="shared" si="163"/>
        <v>0</v>
      </c>
      <c r="CH193" s="427"/>
      <c r="CI193" s="427"/>
      <c r="CJ193" s="427"/>
      <c r="CK193" s="427"/>
      <c r="CL193" s="320">
        <f t="shared" si="178"/>
        <v>0</v>
      </c>
      <c r="CM193" s="320">
        <f t="shared" si="164"/>
        <v>0</v>
      </c>
      <c r="CN193" s="320">
        <f t="shared" si="165"/>
        <v>0</v>
      </c>
      <c r="CO193" s="320">
        <f t="shared" si="204"/>
        <v>0</v>
      </c>
      <c r="CP193" s="427"/>
      <c r="CQ193" s="427"/>
      <c r="CR193" s="320">
        <f t="shared" si="167"/>
        <v>0</v>
      </c>
      <c r="CS193" s="320">
        <f t="shared" si="176"/>
        <v>0</v>
      </c>
      <c r="CT193" s="320">
        <f t="shared" si="200"/>
        <v>0</v>
      </c>
      <c r="CU193" s="320">
        <f t="shared" si="201"/>
        <v>0</v>
      </c>
      <c r="CV193" s="427"/>
      <c r="CW193" s="17"/>
      <c r="CX193" s="320">
        <f t="shared" si="202"/>
        <v>0</v>
      </c>
      <c r="CY193" s="320">
        <f t="shared" si="168"/>
        <v>0</v>
      </c>
      <c r="CZ193" s="320">
        <f t="shared" si="169"/>
        <v>0</v>
      </c>
      <c r="DA193" s="17"/>
      <c r="DB193" s="17"/>
      <c r="DC193" s="17"/>
      <c r="DD193" s="31"/>
      <c r="DE193" s="321"/>
      <c r="DF193" s="321"/>
      <c r="DG193" s="321"/>
      <c r="DH193" s="321"/>
      <c r="DI193" s="321"/>
      <c r="DJ193" s="321"/>
      <c r="DK193" s="321"/>
      <c r="DL193" s="321"/>
      <c r="DM193" s="321"/>
      <c r="DN193" s="321"/>
      <c r="DO193" s="321"/>
      <c r="DP193" s="322"/>
      <c r="DQ193" s="288"/>
      <c r="DR193" s="241"/>
      <c r="DS193" s="429">
        <f t="shared" si="170"/>
        <v>0</v>
      </c>
      <c r="DT193" s="429"/>
      <c r="DU193" s="429"/>
      <c r="DV193" s="429"/>
      <c r="DW193" s="429"/>
      <c r="DX193" s="429"/>
      <c r="DY193" s="429"/>
      <c r="DZ193" s="134"/>
      <c r="EA193" s="134"/>
      <c r="EB193" s="134"/>
      <c r="EC193" s="134"/>
      <c r="ED193" s="123"/>
      <c r="EH193" s="46">
        <v>0</v>
      </c>
      <c r="EI193" s="56"/>
      <c r="EJ193" s="33" t="b">
        <f t="shared" si="171"/>
        <v>0</v>
      </c>
      <c r="EK193" s="57"/>
      <c r="EL193" s="57"/>
      <c r="EM193" s="57"/>
      <c r="EN193" s="441"/>
      <c r="EO193" s="441"/>
      <c r="EP193" s="441"/>
      <c r="EQ193" s="54"/>
      <c r="ER193" s="43"/>
      <c r="ES193" s="54"/>
      <c r="ET193" s="442"/>
      <c r="EU193" s="32"/>
      <c r="EV193" s="32"/>
      <c r="EZ193" s="393" t="s">
        <v>207</v>
      </c>
      <c r="FA193" s="393" t="s">
        <v>207</v>
      </c>
      <c r="FB193" s="389">
        <v>0.42</v>
      </c>
      <c r="FC193" s="389">
        <v>310</v>
      </c>
      <c r="FD193" s="389">
        <v>312</v>
      </c>
      <c r="FE193" s="389">
        <v>317.3</v>
      </c>
      <c r="FF193" s="389">
        <v>322.60000000000002</v>
      </c>
      <c r="FG193" s="390">
        <v>1.2903225806451613E-3</v>
      </c>
      <c r="FH193" s="390">
        <v>3.397435897435905E-3</v>
      </c>
      <c r="FI193" s="390">
        <v>3.3406870469587214E-3</v>
      </c>
      <c r="FJ193" s="391" t="s">
        <v>1389</v>
      </c>
      <c r="FK193" s="391">
        <v>-1.6703435234793625E-2</v>
      </c>
      <c r="FL193" s="31" t="s">
        <v>1394</v>
      </c>
      <c r="FN193" s="128" t="s">
        <v>1756</v>
      </c>
      <c r="FO193" s="128" t="s">
        <v>1757</v>
      </c>
      <c r="FP193" s="128"/>
    </row>
    <row r="194" spans="1:177" ht="22" hidden="1" customHeight="1" x14ac:dyDescent="0.2">
      <c r="A194" s="13" t="s">
        <v>7</v>
      </c>
      <c r="B194" s="14" t="s">
        <v>77</v>
      </c>
      <c r="C194" s="9" t="s">
        <v>1058</v>
      </c>
      <c r="D194" s="14"/>
      <c r="E194" s="128" t="s">
        <v>208</v>
      </c>
      <c r="F194" s="15"/>
      <c r="G194" s="15" t="s">
        <v>635</v>
      </c>
      <c r="H194" s="91">
        <f t="shared" si="210"/>
        <v>0</v>
      </c>
      <c r="I194" s="95">
        <f t="shared" si="203"/>
        <v>2</v>
      </c>
      <c r="J194" s="91"/>
      <c r="K194" s="256">
        <f t="shared" si="137"/>
        <v>2</v>
      </c>
      <c r="L194" s="101" t="s">
        <v>678</v>
      </c>
      <c r="M194" s="99">
        <v>1</v>
      </c>
      <c r="N194" s="89"/>
      <c r="O194" s="98" t="str">
        <f t="shared" si="211"/>
        <v>_x000D__x000D_</v>
      </c>
      <c r="P194" s="98" t="str">
        <f>CONCATENATE(V194,R194,X194)</f>
        <v>_x000D__x000D_</v>
      </c>
      <c r="Q194" s="217"/>
      <c r="R194" s="64" t="s">
        <v>918</v>
      </c>
      <c r="S194" s="493"/>
      <c r="T194" s="300" t="s">
        <v>877</v>
      </c>
      <c r="U194" s="300" t="s">
        <v>834</v>
      </c>
      <c r="V194" s="300" t="s">
        <v>834</v>
      </c>
      <c r="W194" s="258"/>
      <c r="X194" s="307" t="s">
        <v>834</v>
      </c>
      <c r="Y194" s="274"/>
      <c r="Z194" s="426"/>
      <c r="AA194" s="320">
        <f t="shared" si="182"/>
        <v>0</v>
      </c>
      <c r="AB194" s="320">
        <f t="shared" si="183"/>
        <v>0</v>
      </c>
      <c r="AC194" s="320">
        <f t="shared" si="184"/>
        <v>0</v>
      </c>
      <c r="AD194" s="320">
        <f t="shared" si="185"/>
        <v>0</v>
      </c>
      <c r="AE194" s="320">
        <f t="shared" si="186"/>
        <v>0</v>
      </c>
      <c r="AF194" s="320">
        <f t="shared" si="187"/>
        <v>0</v>
      </c>
      <c r="AG194" s="320">
        <f t="shared" si="188"/>
        <v>0</v>
      </c>
      <c r="AH194" s="427"/>
      <c r="AI194" s="320">
        <f t="shared" si="189"/>
        <v>0</v>
      </c>
      <c r="AJ194" s="320">
        <f t="shared" si="190"/>
        <v>0</v>
      </c>
      <c r="AK194" s="320">
        <f t="shared" si="191"/>
        <v>0</v>
      </c>
      <c r="AL194" s="320">
        <f t="shared" si="192"/>
        <v>0</v>
      </c>
      <c r="AM194" s="320">
        <f t="shared" si="193"/>
        <v>0</v>
      </c>
      <c r="AN194" s="320">
        <f t="shared" si="194"/>
        <v>0</v>
      </c>
      <c r="AO194" s="427"/>
      <c r="AP194" s="320">
        <f t="shared" si="173"/>
        <v>0</v>
      </c>
      <c r="AQ194" s="320">
        <f t="shared" si="148"/>
        <v>0</v>
      </c>
      <c r="AR194" s="320">
        <f t="shared" si="149"/>
        <v>0</v>
      </c>
      <c r="AS194" s="320">
        <f t="shared" si="150"/>
        <v>0</v>
      </c>
      <c r="AT194" s="320">
        <f t="shared" si="151"/>
        <v>0</v>
      </c>
      <c r="AU194" s="320">
        <f t="shared" si="152"/>
        <v>0</v>
      </c>
      <c r="AV194" s="427"/>
      <c r="AW194" s="320">
        <f t="shared" si="153"/>
        <v>0</v>
      </c>
      <c r="AX194" s="320">
        <f t="shared" si="154"/>
        <v>0</v>
      </c>
      <c r="AY194" s="320">
        <f t="shared" si="155"/>
        <v>0</v>
      </c>
      <c r="AZ194" s="320">
        <f t="shared" si="156"/>
        <v>0</v>
      </c>
      <c r="BA194" s="17">
        <v>1</v>
      </c>
      <c r="BB194" s="17" t="s">
        <v>877</v>
      </c>
      <c r="BC194" s="17"/>
      <c r="BD194" s="17"/>
      <c r="BE194" s="17"/>
      <c r="BF194" s="17"/>
      <c r="BG194" s="428">
        <f t="shared" si="195"/>
        <v>0</v>
      </c>
      <c r="BH194" s="17"/>
      <c r="BI194" s="17"/>
      <c r="BJ194" s="17"/>
      <c r="BK194" s="17"/>
      <c r="BL194" s="17"/>
      <c r="BM194" s="17"/>
      <c r="BN194" s="320">
        <f t="shared" si="196"/>
        <v>0</v>
      </c>
      <c r="BO194" s="320">
        <f t="shared" si="197"/>
        <v>0</v>
      </c>
      <c r="BP194" s="427"/>
      <c r="BQ194" s="427"/>
      <c r="BR194" s="320">
        <f t="shared" si="207"/>
        <v>0</v>
      </c>
      <c r="BS194" s="320">
        <f t="shared" si="207"/>
        <v>0</v>
      </c>
      <c r="BT194" s="427"/>
      <c r="BU194" s="320">
        <f t="shared" si="198"/>
        <v>0</v>
      </c>
      <c r="BV194" s="320">
        <f t="shared" si="158"/>
        <v>0</v>
      </c>
      <c r="BW194" s="320">
        <f t="shared" si="175"/>
        <v>0</v>
      </c>
      <c r="BX194" s="427"/>
      <c r="BY194" s="320">
        <f t="shared" si="208"/>
        <v>0</v>
      </c>
      <c r="BZ194" s="320">
        <f t="shared" si="159"/>
        <v>0</v>
      </c>
      <c r="CA194" s="320">
        <f t="shared" si="206"/>
        <v>0</v>
      </c>
      <c r="CB194" s="320">
        <f t="shared" si="209"/>
        <v>0</v>
      </c>
      <c r="CC194" s="427"/>
      <c r="CD194" s="320">
        <f t="shared" si="160"/>
        <v>0</v>
      </c>
      <c r="CE194" s="320">
        <f t="shared" si="161"/>
        <v>0</v>
      </c>
      <c r="CF194" s="320">
        <f t="shared" si="162"/>
        <v>0</v>
      </c>
      <c r="CG194" s="320">
        <f t="shared" si="163"/>
        <v>0</v>
      </c>
      <c r="CH194" s="427"/>
      <c r="CI194" s="427"/>
      <c r="CJ194" s="427"/>
      <c r="CK194" s="427"/>
      <c r="CL194" s="320">
        <f t="shared" si="178"/>
        <v>0</v>
      </c>
      <c r="CM194" s="320">
        <f t="shared" si="164"/>
        <v>0</v>
      </c>
      <c r="CN194" s="320">
        <f t="shared" si="165"/>
        <v>0</v>
      </c>
      <c r="CO194" s="320">
        <f t="shared" si="204"/>
        <v>0</v>
      </c>
      <c r="CP194" s="427"/>
      <c r="CQ194" s="427"/>
      <c r="CR194" s="320">
        <f t="shared" si="167"/>
        <v>0</v>
      </c>
      <c r="CS194" s="320">
        <f t="shared" si="176"/>
        <v>0</v>
      </c>
      <c r="CT194" s="320">
        <f t="shared" si="200"/>
        <v>0</v>
      </c>
      <c r="CU194" s="320">
        <f t="shared" si="201"/>
        <v>0</v>
      </c>
      <c r="CV194" s="427"/>
      <c r="CW194" s="17"/>
      <c r="CX194" s="320">
        <f t="shared" si="202"/>
        <v>0</v>
      </c>
      <c r="CY194" s="320">
        <f t="shared" si="168"/>
        <v>0</v>
      </c>
      <c r="CZ194" s="320">
        <f t="shared" si="169"/>
        <v>0</v>
      </c>
      <c r="DA194" s="17"/>
      <c r="DB194" s="17"/>
      <c r="DC194" s="17"/>
      <c r="DD194" s="31"/>
      <c r="DE194" s="323"/>
      <c r="DF194" s="323"/>
      <c r="DG194" s="323"/>
      <c r="DH194" s="323"/>
      <c r="DI194" s="323"/>
      <c r="DJ194" s="323"/>
      <c r="DK194" s="323"/>
      <c r="DL194" s="323"/>
      <c r="DM194" s="323"/>
      <c r="DN194" s="323"/>
      <c r="DO194" s="323"/>
      <c r="DP194" s="324"/>
      <c r="DQ194" s="288"/>
      <c r="DR194" s="242"/>
      <c r="DS194" s="429">
        <f t="shared" si="170"/>
        <v>0</v>
      </c>
      <c r="DT194" s="429"/>
      <c r="DU194" s="429"/>
      <c r="DV194" s="429"/>
      <c r="DW194" s="429"/>
      <c r="DX194" s="429"/>
      <c r="DY194" s="429"/>
      <c r="DZ194" s="134"/>
      <c r="EA194" s="134"/>
      <c r="EB194" s="134"/>
      <c r="EC194" s="134"/>
      <c r="ED194" s="123"/>
      <c r="EH194" s="51">
        <v>1</v>
      </c>
      <c r="EI194" s="61"/>
      <c r="EJ194" s="33" t="e">
        <f t="shared" si="171"/>
        <v>#VALUE!</v>
      </c>
      <c r="EK194" s="57"/>
      <c r="EL194" s="57"/>
      <c r="EM194" s="57"/>
      <c r="EN194" s="441"/>
      <c r="EO194" s="441"/>
      <c r="EP194" s="441"/>
      <c r="EQ194" s="62"/>
      <c r="ER194" s="43">
        <v>1</v>
      </c>
      <c r="ES194" s="62"/>
      <c r="ET194" s="442" t="s">
        <v>255</v>
      </c>
      <c r="EU194" s="32"/>
      <c r="EV194" s="32"/>
      <c r="EZ194" s="393" t="s">
        <v>208</v>
      </c>
      <c r="FA194" s="393" t="s">
        <v>1385</v>
      </c>
      <c r="FB194" s="389">
        <v>2778</v>
      </c>
      <c r="FC194" s="389">
        <v>2954</v>
      </c>
      <c r="FD194" s="389">
        <v>3021</v>
      </c>
      <c r="FE194" s="389">
        <v>3059</v>
      </c>
      <c r="FF194" s="389">
        <v>3144</v>
      </c>
      <c r="FG194" s="390">
        <v>4.5362220717670952E-3</v>
      </c>
      <c r="FH194" s="390">
        <v>2.5157232704402519E-3</v>
      </c>
      <c r="FI194" s="390">
        <v>5.5573716900948018E-3</v>
      </c>
      <c r="FJ194" s="391" t="s">
        <v>1389</v>
      </c>
      <c r="FK194" s="391">
        <v>1.2090552468126834</v>
      </c>
      <c r="FL194" s="31" t="s">
        <v>1396</v>
      </c>
      <c r="FN194" s="128" t="s">
        <v>1758</v>
      </c>
      <c r="FO194" s="128" t="s">
        <v>1759</v>
      </c>
      <c r="FP194" s="128"/>
    </row>
    <row r="195" spans="1:177" ht="22" hidden="1" customHeight="1" x14ac:dyDescent="0.2">
      <c r="A195" s="13" t="s">
        <v>10</v>
      </c>
      <c r="B195" s="14" t="s">
        <v>51</v>
      </c>
      <c r="C195" s="14"/>
      <c r="D195" s="14"/>
      <c r="E195" s="128" t="s">
        <v>209</v>
      </c>
      <c r="F195" s="15"/>
      <c r="G195" s="15" t="s">
        <v>635</v>
      </c>
      <c r="H195" s="91">
        <f t="shared" si="210"/>
        <v>0</v>
      </c>
      <c r="I195" s="95">
        <f t="shared" si="203"/>
        <v>0</v>
      </c>
      <c r="J195" s="91"/>
      <c r="K195" s="256">
        <f t="shared" si="137"/>
        <v>0</v>
      </c>
      <c r="L195" s="101">
        <v>0</v>
      </c>
      <c r="M195" s="99"/>
      <c r="N195" s="89"/>
      <c r="O195" s="98" t="str">
        <f t="shared" si="211"/>
        <v>_x000D__x000D_</v>
      </c>
      <c r="P195" s="98"/>
      <c r="Q195" s="217"/>
      <c r="R195" s="64" t="s">
        <v>918</v>
      </c>
      <c r="S195" s="493"/>
      <c r="T195" s="300" t="s">
        <v>864</v>
      </c>
      <c r="U195" s="300" t="s">
        <v>834</v>
      </c>
      <c r="V195" s="300" t="s">
        <v>834</v>
      </c>
      <c r="W195" s="258"/>
      <c r="X195" s="307" t="s">
        <v>834</v>
      </c>
      <c r="Y195" s="274"/>
      <c r="Z195" s="426"/>
      <c r="AA195" s="320">
        <f t="shared" si="182"/>
        <v>0</v>
      </c>
      <c r="AB195" s="320">
        <f t="shared" si="183"/>
        <v>0</v>
      </c>
      <c r="AC195" s="320">
        <f t="shared" si="184"/>
        <v>0</v>
      </c>
      <c r="AD195" s="320">
        <f t="shared" si="185"/>
        <v>0</v>
      </c>
      <c r="AE195" s="320">
        <f t="shared" si="186"/>
        <v>0</v>
      </c>
      <c r="AF195" s="320">
        <f t="shared" si="187"/>
        <v>0</v>
      </c>
      <c r="AG195" s="320">
        <f t="shared" si="188"/>
        <v>0</v>
      </c>
      <c r="AH195" s="427"/>
      <c r="AI195" s="320">
        <f t="shared" si="189"/>
        <v>0</v>
      </c>
      <c r="AJ195" s="320">
        <f t="shared" si="190"/>
        <v>0</v>
      </c>
      <c r="AK195" s="320">
        <f t="shared" si="191"/>
        <v>0</v>
      </c>
      <c r="AL195" s="320">
        <f t="shared" si="192"/>
        <v>0</v>
      </c>
      <c r="AM195" s="320">
        <f t="shared" si="193"/>
        <v>0</v>
      </c>
      <c r="AN195" s="320">
        <f t="shared" si="194"/>
        <v>0</v>
      </c>
      <c r="AO195" s="427"/>
      <c r="AP195" s="320">
        <f t="shared" si="173"/>
        <v>0</v>
      </c>
      <c r="AQ195" s="320">
        <f t="shared" si="148"/>
        <v>0</v>
      </c>
      <c r="AR195" s="320">
        <f t="shared" si="149"/>
        <v>0</v>
      </c>
      <c r="AS195" s="320">
        <f t="shared" si="150"/>
        <v>0</v>
      </c>
      <c r="AT195" s="320">
        <f t="shared" si="151"/>
        <v>0</v>
      </c>
      <c r="AU195" s="320">
        <f t="shared" si="152"/>
        <v>0</v>
      </c>
      <c r="AV195" s="427"/>
      <c r="AW195" s="320">
        <f t="shared" si="153"/>
        <v>0</v>
      </c>
      <c r="AX195" s="320">
        <f t="shared" si="154"/>
        <v>0</v>
      </c>
      <c r="AY195" s="320">
        <f t="shared" si="155"/>
        <v>0</v>
      </c>
      <c r="AZ195" s="320">
        <f t="shared" si="156"/>
        <v>0</v>
      </c>
      <c r="BA195" s="17">
        <v>1</v>
      </c>
      <c r="BB195" s="17" t="s">
        <v>864</v>
      </c>
      <c r="BC195" s="17"/>
      <c r="BD195" s="17"/>
      <c r="BE195" s="17"/>
      <c r="BF195" s="17"/>
      <c r="BG195" s="428">
        <f t="shared" si="195"/>
        <v>0</v>
      </c>
      <c r="BH195" s="17"/>
      <c r="BI195" s="17"/>
      <c r="BJ195" s="17"/>
      <c r="BK195" s="17"/>
      <c r="BL195" s="17"/>
      <c r="BM195" s="17"/>
      <c r="BN195" s="320">
        <f t="shared" si="196"/>
        <v>0</v>
      </c>
      <c r="BO195" s="320">
        <f t="shared" si="197"/>
        <v>0</v>
      </c>
      <c r="BP195" s="427"/>
      <c r="BQ195" s="427"/>
      <c r="BR195" s="320">
        <f t="shared" si="207"/>
        <v>0</v>
      </c>
      <c r="BS195" s="320">
        <f t="shared" si="207"/>
        <v>0</v>
      </c>
      <c r="BT195" s="427"/>
      <c r="BU195" s="320">
        <f t="shared" si="198"/>
        <v>0</v>
      </c>
      <c r="BV195" s="320">
        <f t="shared" si="158"/>
        <v>0</v>
      </c>
      <c r="BW195" s="320">
        <f t="shared" si="175"/>
        <v>0</v>
      </c>
      <c r="BX195" s="427"/>
      <c r="BY195" s="320">
        <f t="shared" si="208"/>
        <v>0</v>
      </c>
      <c r="BZ195" s="320">
        <f t="shared" si="159"/>
        <v>0</v>
      </c>
      <c r="CA195" s="320">
        <f t="shared" si="206"/>
        <v>0</v>
      </c>
      <c r="CB195" s="320">
        <f t="shared" si="209"/>
        <v>0</v>
      </c>
      <c r="CC195" s="427"/>
      <c r="CD195" s="320">
        <f t="shared" si="160"/>
        <v>0</v>
      </c>
      <c r="CE195" s="320">
        <f t="shared" si="161"/>
        <v>0</v>
      </c>
      <c r="CF195" s="320">
        <f t="shared" si="162"/>
        <v>0</v>
      </c>
      <c r="CG195" s="320">
        <f t="shared" si="163"/>
        <v>0</v>
      </c>
      <c r="CH195" s="427"/>
      <c r="CI195" s="427"/>
      <c r="CJ195" s="427"/>
      <c r="CK195" s="427"/>
      <c r="CL195" s="320">
        <f t="shared" si="178"/>
        <v>0</v>
      </c>
      <c r="CM195" s="320">
        <f t="shared" si="164"/>
        <v>0</v>
      </c>
      <c r="CN195" s="320">
        <f t="shared" si="165"/>
        <v>0</v>
      </c>
      <c r="CO195" s="320">
        <f t="shared" si="204"/>
        <v>0</v>
      </c>
      <c r="CP195" s="427"/>
      <c r="CQ195" s="427"/>
      <c r="CR195" s="320">
        <f t="shared" si="167"/>
        <v>0</v>
      </c>
      <c r="CS195" s="320">
        <f t="shared" si="176"/>
        <v>0</v>
      </c>
      <c r="CT195" s="320">
        <f t="shared" si="200"/>
        <v>0</v>
      </c>
      <c r="CU195" s="320">
        <f t="shared" si="201"/>
        <v>0</v>
      </c>
      <c r="CV195" s="427"/>
      <c r="CW195" s="17"/>
      <c r="CX195" s="320">
        <f t="shared" si="202"/>
        <v>0</v>
      </c>
      <c r="CY195" s="320">
        <f t="shared" si="168"/>
        <v>0</v>
      </c>
      <c r="CZ195" s="320">
        <f t="shared" si="169"/>
        <v>0</v>
      </c>
      <c r="DA195" s="17"/>
      <c r="DB195" s="17"/>
      <c r="DC195" s="17"/>
      <c r="DD195" s="31"/>
      <c r="DE195" s="321"/>
      <c r="DF195" s="321"/>
      <c r="DG195" s="321"/>
      <c r="DH195" s="321"/>
      <c r="DI195" s="321"/>
      <c r="DJ195" s="321"/>
      <c r="DK195" s="321"/>
      <c r="DL195" s="321"/>
      <c r="DM195" s="321"/>
      <c r="DN195" s="321"/>
      <c r="DO195" s="321"/>
      <c r="DP195" s="322"/>
      <c r="DQ195" s="288"/>
      <c r="DR195" s="241"/>
      <c r="DS195" s="429">
        <f t="shared" si="170"/>
        <v>0</v>
      </c>
      <c r="DT195" s="429"/>
      <c r="DU195" s="429"/>
      <c r="DV195" s="429"/>
      <c r="DW195" s="429"/>
      <c r="DX195" s="429"/>
      <c r="DY195" s="429"/>
      <c r="DZ195" s="134"/>
      <c r="EA195" s="134"/>
      <c r="EB195" s="134"/>
      <c r="EC195" s="134"/>
      <c r="ED195" s="123"/>
      <c r="EH195" s="46"/>
      <c r="EI195" s="56"/>
      <c r="EJ195" s="33" t="b">
        <f t="shared" si="171"/>
        <v>0</v>
      </c>
      <c r="EK195" s="57"/>
      <c r="EL195" s="57"/>
      <c r="EM195" s="57"/>
      <c r="EN195" s="441"/>
      <c r="EO195" s="441"/>
      <c r="EP195" s="441"/>
      <c r="EQ195" s="54"/>
      <c r="ER195" s="67"/>
      <c r="ES195" s="54"/>
      <c r="ET195" s="442"/>
      <c r="EU195" s="32"/>
      <c r="EV195" s="32"/>
      <c r="EZ195" s="393" t="s">
        <v>209</v>
      </c>
      <c r="FA195" s="393" t="s">
        <v>209</v>
      </c>
      <c r="FB195" s="389">
        <v>55920</v>
      </c>
      <c r="FC195" s="389">
        <v>51920</v>
      </c>
      <c r="FD195" s="389">
        <v>49920</v>
      </c>
      <c r="FE195" s="389">
        <v>47920</v>
      </c>
      <c r="FF195" s="389">
        <v>46060</v>
      </c>
      <c r="FG195" s="390">
        <v>-7.7041602465331271E-3</v>
      </c>
      <c r="FH195" s="390">
        <v>-8.0128205128205138E-3</v>
      </c>
      <c r="FI195" s="390">
        <v>-7.7629382303839728E-3</v>
      </c>
      <c r="FJ195" s="391">
        <v>-3.118530884808032E-2</v>
      </c>
      <c r="FK195" s="391" t="s">
        <v>1386</v>
      </c>
      <c r="FL195" s="31" t="s">
        <v>1391</v>
      </c>
      <c r="FN195" s="128"/>
      <c r="FO195" s="128" t="s">
        <v>1760</v>
      </c>
      <c r="FP195" s="128"/>
    </row>
    <row r="196" spans="1:177" ht="22" hidden="1" customHeight="1" x14ac:dyDescent="0.2">
      <c r="A196" s="16" t="s">
        <v>16</v>
      </c>
      <c r="B196" s="19" t="s">
        <v>19</v>
      </c>
      <c r="C196" s="19"/>
      <c r="D196" s="19"/>
      <c r="E196" s="128" t="s">
        <v>210</v>
      </c>
      <c r="F196" s="15" t="s">
        <v>637</v>
      </c>
      <c r="G196" s="15" t="s">
        <v>635</v>
      </c>
      <c r="H196" s="91">
        <f t="shared" si="210"/>
        <v>0</v>
      </c>
      <c r="I196" s="95">
        <f t="shared" si="203"/>
        <v>0</v>
      </c>
      <c r="J196" s="91">
        <v>2</v>
      </c>
      <c r="K196" s="256">
        <f t="shared" si="137"/>
        <v>2</v>
      </c>
      <c r="L196" s="101">
        <v>0</v>
      </c>
      <c r="M196" s="99"/>
      <c r="N196" s="89"/>
      <c r="O196" s="98" t="str">
        <f t="shared" si="211"/>
        <v>_x000D__x000D_13200 Gg annually (19200 Gg annually)</v>
      </c>
      <c r="P196" s="144" t="str">
        <f>CONCATENATE(V196,R196,X196)</f>
        <v xml:space="preserve">By 2030 annual CO2 removals from native forests by means of domestic resources are expected to be around 1300 Gg and up to 2500 Gg with additional means of implementation. Furthermore, between 1990 and 2010 Uruguay afforested 689000 effective hectares with tree plantations, which accounts for a 430% increase of the total surface planted in the period. Carbon sequestration levels in tree plantations and in growing native forests have determined that Uruguay, at the beginning of this century, behaved as a net CO2 sink. Uruguay expects to contribute, from 2010 to 2030, by means of domestic resources, with an additional expansion of the total tree plantation area of about 300000 hectares, which will account for total annual removals of 11200 Gg of CO2 in 2030._x000D__x000D_In addition, within the REDD+ framework, Uruguay will be able to contribute by removing carbon and preventing emissions that could primarily be estimated in a further 2100 Gg of CO2 in 2030._x000D__x000D_The aggregate result for forestry removals supported by domestic resources amounts to 12500 Gg of CO2 in 2030, which could, reach 15800 Gg if provided with additional means of implementation._x000D__x000D_Additionally, Uruguay has a great carbon sequestration potential through soils under degraded grasslands and eroded croplands. With regard to degraded grasslands, removals by 2030 are estimated to be 600 Gg by means of domestic resources and a total of 3300 Gg with additional means of implementation. With regard to carbon in cropland soils, Uruguay has broadly introduced no till agriculture, and has recently implemented mandatory conservation policies that reduce erosion and will promote an increase in biomass supply to the soil. Moreover, it is fostering the use of irrigation. The net impact of these measures can initially be estimated at about 100 Gg CO2 captured by 2030._x000D_Uruguay would then remove, through carbon sequestration in soils, 700 Gg CO2 annually in 2030 by means of domestic resources and a total of 3400 Gg CO2 with additional means of implementation._x000D__x000D_La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_x000D__x000D_Development and strengthening of the National Protected areas System, which contributes to the protection of climate change and variability vulnerable biodiversity and ecosystems. _x000D__x000D_Restoration and maintenance of coastal ecosystems services that provide protection against extreme events and of ecosystems services that protect drinking water sources. _x000D__x000D_Overhaul and maintenance of road infrastructure, especially in coastal/ flood sensitive areas, taking into account climate change and variability. _x000D__x000D_Development of research and data collection programs and networks on the impacts and adaptation to climate change and variability._x000D__x000D_Development of information systems, climate services and monitoring programs, particularly for the environmental, agriculture and emergency sectors, and development of early warning systems, to support decision-making. </v>
      </c>
      <c r="Q196" s="217"/>
      <c r="R196" s="64" t="s">
        <v>918</v>
      </c>
      <c r="S196" s="493" t="s">
        <v>497</v>
      </c>
      <c r="T196" s="300" t="s">
        <v>849</v>
      </c>
      <c r="U196" s="300" t="s">
        <v>895</v>
      </c>
      <c r="V196" s="300" t="s">
        <v>499</v>
      </c>
      <c r="W196" s="258" t="s">
        <v>501</v>
      </c>
      <c r="X196" s="308" t="s">
        <v>1065</v>
      </c>
      <c r="Y196" s="297"/>
      <c r="Z196" s="426" t="s">
        <v>221</v>
      </c>
      <c r="AA196" s="320">
        <f t="shared" si="182"/>
        <v>1</v>
      </c>
      <c r="AB196" s="320">
        <f t="shared" si="183"/>
        <v>1</v>
      </c>
      <c r="AC196" s="320">
        <f t="shared" si="184"/>
        <v>0</v>
      </c>
      <c r="AD196" s="320">
        <f t="shared" si="185"/>
        <v>0</v>
      </c>
      <c r="AE196" s="320">
        <f t="shared" si="186"/>
        <v>0</v>
      </c>
      <c r="AF196" s="320">
        <f t="shared" si="187"/>
        <v>0</v>
      </c>
      <c r="AG196" s="320">
        <f t="shared" si="188"/>
        <v>1</v>
      </c>
      <c r="AH196" s="427">
        <v>3</v>
      </c>
      <c r="AI196" s="320">
        <f t="shared" si="189"/>
        <v>0</v>
      </c>
      <c r="AJ196" s="320">
        <f t="shared" si="190"/>
        <v>0</v>
      </c>
      <c r="AK196" s="320">
        <f t="shared" si="191"/>
        <v>0</v>
      </c>
      <c r="AL196" s="320">
        <f t="shared" si="192"/>
        <v>0</v>
      </c>
      <c r="AM196" s="320">
        <f t="shared" si="193"/>
        <v>1</v>
      </c>
      <c r="AN196" s="320">
        <f t="shared" si="194"/>
        <v>0</v>
      </c>
      <c r="AO196" s="427">
        <v>1</v>
      </c>
      <c r="AP196" s="320">
        <f t="shared" si="173"/>
        <v>1</v>
      </c>
      <c r="AQ196" s="320">
        <f t="shared" si="148"/>
        <v>0</v>
      </c>
      <c r="AR196" s="320">
        <f t="shared" si="149"/>
        <v>0</v>
      </c>
      <c r="AS196" s="320">
        <f t="shared" si="150"/>
        <v>0</v>
      </c>
      <c r="AT196" s="320">
        <f t="shared" si="151"/>
        <v>0</v>
      </c>
      <c r="AU196" s="320">
        <f t="shared" si="152"/>
        <v>0</v>
      </c>
      <c r="AV196" s="427">
        <v>0</v>
      </c>
      <c r="AW196" s="320">
        <f t="shared" si="153"/>
        <v>0</v>
      </c>
      <c r="AX196" s="320">
        <f t="shared" si="154"/>
        <v>0</v>
      </c>
      <c r="AY196" s="320">
        <f t="shared" si="155"/>
        <v>0</v>
      </c>
      <c r="AZ196" s="320">
        <f t="shared" si="156"/>
        <v>0</v>
      </c>
      <c r="BA196" s="17">
        <v>1</v>
      </c>
      <c r="BB196" s="17" t="s">
        <v>849</v>
      </c>
      <c r="BC196" s="17">
        <v>1</v>
      </c>
      <c r="BD196" s="17">
        <v>1</v>
      </c>
      <c r="BE196" s="17">
        <v>0</v>
      </c>
      <c r="BF196" s="17">
        <v>1</v>
      </c>
      <c r="BG196" s="428">
        <f t="shared" si="195"/>
        <v>1</v>
      </c>
      <c r="BH196" s="17"/>
      <c r="BI196" s="17">
        <v>1</v>
      </c>
      <c r="BJ196" s="17" t="s">
        <v>895</v>
      </c>
      <c r="BK196" s="17"/>
      <c r="BL196" s="17">
        <v>0</v>
      </c>
      <c r="BM196" s="17" t="s">
        <v>834</v>
      </c>
      <c r="BN196" s="320">
        <f t="shared" si="196"/>
        <v>0</v>
      </c>
      <c r="BO196" s="320">
        <f t="shared" si="197"/>
        <v>0</v>
      </c>
      <c r="BP196" s="427">
        <v>0</v>
      </c>
      <c r="BQ196" s="427" t="s">
        <v>834</v>
      </c>
      <c r="BR196" s="320">
        <f t="shared" si="207"/>
        <v>0</v>
      </c>
      <c r="BS196" s="320">
        <f t="shared" si="207"/>
        <v>0</v>
      </c>
      <c r="BT196" s="427">
        <v>0</v>
      </c>
      <c r="BU196" s="320">
        <f t="shared" si="198"/>
        <v>0</v>
      </c>
      <c r="BV196" s="320">
        <f t="shared" si="158"/>
        <v>0</v>
      </c>
      <c r="BW196" s="320">
        <f t="shared" si="175"/>
        <v>0</v>
      </c>
      <c r="BX196" s="427">
        <v>1</v>
      </c>
      <c r="BY196" s="320">
        <f t="shared" si="208"/>
        <v>1</v>
      </c>
      <c r="BZ196" s="320">
        <f t="shared" si="159"/>
        <v>0</v>
      </c>
      <c r="CA196" s="320">
        <f t="shared" si="206"/>
        <v>0</v>
      </c>
      <c r="CB196" s="320">
        <f t="shared" si="209"/>
        <v>0</v>
      </c>
      <c r="CC196" s="427">
        <v>1</v>
      </c>
      <c r="CD196" s="320">
        <f t="shared" si="160"/>
        <v>1</v>
      </c>
      <c r="CE196" s="320">
        <f t="shared" si="161"/>
        <v>0</v>
      </c>
      <c r="CF196" s="320">
        <f t="shared" si="162"/>
        <v>0</v>
      </c>
      <c r="CG196" s="320">
        <f t="shared" si="163"/>
        <v>0</v>
      </c>
      <c r="CH196" s="427">
        <v>1</v>
      </c>
      <c r="CI196" s="427">
        <v>0</v>
      </c>
      <c r="CJ196" s="427">
        <v>0</v>
      </c>
      <c r="CK196" s="427">
        <v>0</v>
      </c>
      <c r="CL196" s="320">
        <f t="shared" si="178"/>
        <v>0</v>
      </c>
      <c r="CM196" s="320">
        <f t="shared" si="164"/>
        <v>0</v>
      </c>
      <c r="CN196" s="320">
        <f t="shared" si="165"/>
        <v>0</v>
      </c>
      <c r="CO196" s="320">
        <f t="shared" si="204"/>
        <v>0</v>
      </c>
      <c r="CP196" s="427">
        <v>1</v>
      </c>
      <c r="CQ196" s="427">
        <v>1</v>
      </c>
      <c r="CR196" s="320">
        <f t="shared" si="167"/>
        <v>1</v>
      </c>
      <c r="CS196" s="320">
        <f t="shared" si="176"/>
        <v>0</v>
      </c>
      <c r="CT196" s="320">
        <f t="shared" si="200"/>
        <v>0</v>
      </c>
      <c r="CU196" s="320">
        <f t="shared" si="201"/>
        <v>0</v>
      </c>
      <c r="CV196" s="427">
        <v>0</v>
      </c>
      <c r="CW196" s="17">
        <v>1</v>
      </c>
      <c r="CX196" s="320">
        <f t="shared" si="202"/>
        <v>1</v>
      </c>
      <c r="CY196" s="320">
        <f t="shared" si="168"/>
        <v>0</v>
      </c>
      <c r="CZ196" s="320">
        <f t="shared" si="169"/>
        <v>0</v>
      </c>
      <c r="DA196" s="17">
        <v>1</v>
      </c>
      <c r="DB196" s="17">
        <v>1</v>
      </c>
      <c r="DC196" s="17">
        <v>0</v>
      </c>
      <c r="DD196" s="31"/>
      <c r="DE196" s="323" t="s">
        <v>387</v>
      </c>
      <c r="DF196" s="323" t="s">
        <v>388</v>
      </c>
      <c r="DG196" s="323" t="s">
        <v>388</v>
      </c>
      <c r="DH196" s="323" t="s">
        <v>392</v>
      </c>
      <c r="DI196" s="323"/>
      <c r="DJ196" s="323" t="s">
        <v>388</v>
      </c>
      <c r="DK196" s="323" t="s">
        <v>499</v>
      </c>
      <c r="DL196" s="323" t="s">
        <v>500</v>
      </c>
      <c r="DM196" s="323" t="s">
        <v>388</v>
      </c>
      <c r="DN196" s="323" t="s">
        <v>388</v>
      </c>
      <c r="DO196" s="323" t="s">
        <v>388</v>
      </c>
      <c r="DP196" s="324" t="s">
        <v>501</v>
      </c>
      <c r="DQ196" s="289"/>
      <c r="DR196" s="240">
        <f>SUM(DS196:DX196)/6</f>
        <v>0.31308373590982291</v>
      </c>
      <c r="DS196" s="429">
        <f t="shared" si="170"/>
        <v>0.21739130434782608</v>
      </c>
      <c r="DT196" s="429">
        <f>SUM(BA196:BE196,BG196)/5</f>
        <v>0.8</v>
      </c>
      <c r="DU196" s="429">
        <f>SUM(BI196,BO196,BS196,BU196:BW196)/6</f>
        <v>0.16666666666666666</v>
      </c>
      <c r="DV196" s="429">
        <f>SUM(BY196-CB196,CD196-CG196)/8</f>
        <v>0.25</v>
      </c>
      <c r="DW196" s="429">
        <f>SUM(CH196:CJ196,CL196:CO196,BN196,BR196)/9</f>
        <v>0.1111111111111111</v>
      </c>
      <c r="DX196" s="429">
        <f>SUM(CP196,CR196:CV196)/6</f>
        <v>0.33333333333333331</v>
      </c>
      <c r="DY196" s="444"/>
      <c r="DZ196" s="140" t="s">
        <v>716</v>
      </c>
      <c r="EA196" s="140" t="s">
        <v>717</v>
      </c>
      <c r="EB196" s="139" t="s">
        <v>802</v>
      </c>
      <c r="EC196" s="139" t="s">
        <v>781</v>
      </c>
      <c r="ED196" s="123">
        <v>3</v>
      </c>
      <c r="EH196" s="44">
        <v>0</v>
      </c>
      <c r="EI196" s="56"/>
      <c r="EJ196" s="33" t="b">
        <f t="shared" si="171"/>
        <v>0</v>
      </c>
      <c r="EK196" s="57"/>
      <c r="EL196" s="57"/>
      <c r="EM196" s="57"/>
      <c r="EN196" s="441"/>
      <c r="EO196" s="441"/>
      <c r="EP196" s="441"/>
      <c r="EQ196" s="62"/>
      <c r="ER196" s="43">
        <v>1</v>
      </c>
      <c r="ES196" s="62"/>
      <c r="ET196" s="442"/>
      <c r="EU196" s="32"/>
      <c r="EV196" s="32"/>
      <c r="EZ196" s="393" t="s">
        <v>210</v>
      </c>
      <c r="FA196" s="393" t="s">
        <v>210</v>
      </c>
      <c r="FB196" s="389">
        <v>797.8</v>
      </c>
      <c r="FC196" s="389">
        <v>1369.7</v>
      </c>
      <c r="FD196" s="389">
        <v>1521.8</v>
      </c>
      <c r="FE196" s="389">
        <v>1731.3</v>
      </c>
      <c r="FF196" s="389">
        <v>1845</v>
      </c>
      <c r="FG196" s="390">
        <v>2.2209242899905075E-2</v>
      </c>
      <c r="FH196" s="390">
        <v>2.7533184386910235E-2</v>
      </c>
      <c r="FI196" s="390">
        <v>1.3134638710795362E-2</v>
      </c>
      <c r="FJ196" s="391" t="s">
        <v>1389</v>
      </c>
      <c r="FK196" s="391">
        <v>-0.52295242983082613</v>
      </c>
      <c r="FL196" s="31" t="s">
        <v>1394</v>
      </c>
      <c r="FN196" s="128" t="s">
        <v>1761</v>
      </c>
      <c r="FO196" s="128" t="s">
        <v>1762</v>
      </c>
      <c r="FP196" s="128"/>
    </row>
    <row r="197" spans="1:177" ht="22" hidden="1" customHeight="1" x14ac:dyDescent="0.2">
      <c r="A197" s="13" t="s">
        <v>4</v>
      </c>
      <c r="B197" s="23" t="s">
        <v>118</v>
      </c>
      <c r="C197" s="23"/>
      <c r="D197" s="23"/>
      <c r="E197" s="128" t="s">
        <v>211</v>
      </c>
      <c r="F197" s="15"/>
      <c r="G197" s="15" t="s">
        <v>634</v>
      </c>
      <c r="H197" s="91">
        <f t="shared" si="210"/>
        <v>1</v>
      </c>
      <c r="I197" s="95">
        <f t="shared" si="203"/>
        <v>0</v>
      </c>
      <c r="J197" s="91"/>
      <c r="K197" s="256">
        <f t="shared" si="137"/>
        <v>1</v>
      </c>
      <c r="L197" s="101">
        <v>0</v>
      </c>
      <c r="M197" s="99"/>
      <c r="N197" s="89"/>
      <c r="O197" s="98" t="str">
        <f t="shared" si="211"/>
        <v>_x000D__x000D_</v>
      </c>
      <c r="P197" s="98"/>
      <c r="Q197" s="217"/>
      <c r="R197" s="64" t="s">
        <v>918</v>
      </c>
      <c r="S197" s="492"/>
      <c r="T197" s="300" t="s">
        <v>834</v>
      </c>
      <c r="U197" s="300" t="s">
        <v>256</v>
      </c>
      <c r="V197" s="300" t="s">
        <v>834</v>
      </c>
      <c r="W197" s="258"/>
      <c r="X197" s="307" t="s">
        <v>834</v>
      </c>
      <c r="Y197" s="274"/>
      <c r="Z197" s="426"/>
      <c r="AA197" s="320">
        <f t="shared" si="182"/>
        <v>0</v>
      </c>
      <c r="AB197" s="320">
        <f t="shared" si="183"/>
        <v>0</v>
      </c>
      <c r="AC197" s="320">
        <f t="shared" si="184"/>
        <v>0</v>
      </c>
      <c r="AD197" s="320">
        <f t="shared" si="185"/>
        <v>0</v>
      </c>
      <c r="AE197" s="320">
        <f t="shared" si="186"/>
        <v>0</v>
      </c>
      <c r="AF197" s="320">
        <f t="shared" si="187"/>
        <v>0</v>
      </c>
      <c r="AG197" s="320">
        <f t="shared" si="188"/>
        <v>0</v>
      </c>
      <c r="AH197" s="427"/>
      <c r="AI197" s="320">
        <f t="shared" si="189"/>
        <v>0</v>
      </c>
      <c r="AJ197" s="320">
        <f t="shared" si="190"/>
        <v>0</v>
      </c>
      <c r="AK197" s="320">
        <f t="shared" si="191"/>
        <v>0</v>
      </c>
      <c r="AL197" s="320">
        <f t="shared" si="192"/>
        <v>0</v>
      </c>
      <c r="AM197" s="320">
        <f t="shared" si="193"/>
        <v>0</v>
      </c>
      <c r="AN197" s="320">
        <f t="shared" si="194"/>
        <v>0</v>
      </c>
      <c r="AO197" s="427"/>
      <c r="AP197" s="320">
        <f t="shared" si="173"/>
        <v>0</v>
      </c>
      <c r="AQ197" s="320">
        <f t="shared" si="148"/>
        <v>0</v>
      </c>
      <c r="AR197" s="320">
        <f t="shared" si="149"/>
        <v>0</v>
      </c>
      <c r="AS197" s="320">
        <f t="shared" si="150"/>
        <v>0</v>
      </c>
      <c r="AT197" s="320">
        <f t="shared" si="151"/>
        <v>0</v>
      </c>
      <c r="AU197" s="320">
        <f t="shared" si="152"/>
        <v>0</v>
      </c>
      <c r="AV197" s="427"/>
      <c r="AW197" s="320">
        <f t="shared" si="153"/>
        <v>0</v>
      </c>
      <c r="AX197" s="320">
        <f t="shared" si="154"/>
        <v>0</v>
      </c>
      <c r="AY197" s="320">
        <f t="shared" si="155"/>
        <v>0</v>
      </c>
      <c r="AZ197" s="320">
        <f t="shared" si="156"/>
        <v>0</v>
      </c>
      <c r="BA197" s="17"/>
      <c r="BB197" s="17" t="s">
        <v>834</v>
      </c>
      <c r="BC197" s="17"/>
      <c r="BD197" s="17"/>
      <c r="BE197" s="17"/>
      <c r="BF197" s="17"/>
      <c r="BG197" s="428">
        <f t="shared" si="195"/>
        <v>0</v>
      </c>
      <c r="BH197" s="17"/>
      <c r="BI197" s="17" t="s">
        <v>256</v>
      </c>
      <c r="BJ197" s="17"/>
      <c r="BK197" s="17"/>
      <c r="BL197" s="17"/>
      <c r="BM197" s="17"/>
      <c r="BN197" s="320">
        <f t="shared" si="196"/>
        <v>0</v>
      </c>
      <c r="BO197" s="320">
        <f t="shared" si="197"/>
        <v>0</v>
      </c>
      <c r="BP197" s="427"/>
      <c r="BQ197" s="427"/>
      <c r="BR197" s="320">
        <f t="shared" si="207"/>
        <v>0</v>
      </c>
      <c r="BS197" s="320">
        <f t="shared" si="207"/>
        <v>0</v>
      </c>
      <c r="BT197" s="427"/>
      <c r="BU197" s="320">
        <f t="shared" si="198"/>
        <v>0</v>
      </c>
      <c r="BV197" s="320">
        <f t="shared" si="158"/>
        <v>0</v>
      </c>
      <c r="BW197" s="320">
        <f t="shared" si="175"/>
        <v>0</v>
      </c>
      <c r="BX197" s="427"/>
      <c r="BY197" s="320">
        <f t="shared" si="208"/>
        <v>0</v>
      </c>
      <c r="BZ197" s="320">
        <f t="shared" si="159"/>
        <v>0</v>
      </c>
      <c r="CA197" s="320">
        <f t="shared" si="206"/>
        <v>0</v>
      </c>
      <c r="CB197" s="320">
        <f t="shared" si="209"/>
        <v>0</v>
      </c>
      <c r="CC197" s="427"/>
      <c r="CD197" s="320">
        <f t="shared" si="160"/>
        <v>0</v>
      </c>
      <c r="CE197" s="320">
        <f t="shared" si="161"/>
        <v>0</v>
      </c>
      <c r="CF197" s="320">
        <f t="shared" si="162"/>
        <v>0</v>
      </c>
      <c r="CG197" s="320">
        <f t="shared" si="163"/>
        <v>0</v>
      </c>
      <c r="CH197" s="427"/>
      <c r="CI197" s="427"/>
      <c r="CJ197" s="427"/>
      <c r="CK197" s="427"/>
      <c r="CL197" s="320">
        <f t="shared" si="178"/>
        <v>0</v>
      </c>
      <c r="CM197" s="320">
        <f t="shared" si="164"/>
        <v>0</v>
      </c>
      <c r="CN197" s="320">
        <f t="shared" si="165"/>
        <v>0</v>
      </c>
      <c r="CO197" s="320">
        <f t="shared" si="204"/>
        <v>0</v>
      </c>
      <c r="CP197" s="427"/>
      <c r="CQ197" s="427"/>
      <c r="CR197" s="320">
        <f t="shared" si="167"/>
        <v>0</v>
      </c>
      <c r="CS197" s="320">
        <f t="shared" si="176"/>
        <v>0</v>
      </c>
      <c r="CT197" s="320">
        <f t="shared" si="200"/>
        <v>0</v>
      </c>
      <c r="CU197" s="320">
        <f t="shared" si="201"/>
        <v>0</v>
      </c>
      <c r="CV197" s="427"/>
      <c r="CW197" s="17"/>
      <c r="CX197" s="320">
        <f t="shared" si="202"/>
        <v>0</v>
      </c>
      <c r="CY197" s="320">
        <f t="shared" si="168"/>
        <v>0</v>
      </c>
      <c r="CZ197" s="320">
        <f t="shared" si="169"/>
        <v>0</v>
      </c>
      <c r="DA197" s="17"/>
      <c r="DB197" s="17"/>
      <c r="DC197" s="17"/>
      <c r="DD197" s="31"/>
      <c r="DE197" s="321"/>
      <c r="DF197" s="321"/>
      <c r="DG197" s="321"/>
      <c r="DH197" s="321"/>
      <c r="DI197" s="321"/>
      <c r="DJ197" s="321"/>
      <c r="DK197" s="321"/>
      <c r="DL197" s="321"/>
      <c r="DM197" s="321"/>
      <c r="DN197" s="321"/>
      <c r="DO197" s="321"/>
      <c r="DP197" s="322"/>
      <c r="DQ197" s="288"/>
      <c r="DR197" s="241"/>
      <c r="DS197" s="429">
        <f t="shared" si="170"/>
        <v>0</v>
      </c>
      <c r="DT197" s="429"/>
      <c r="DU197" s="429"/>
      <c r="DV197" s="429"/>
      <c r="DW197" s="429"/>
      <c r="DX197" s="429"/>
      <c r="DY197" s="429"/>
      <c r="DZ197" s="134"/>
      <c r="EA197" s="134"/>
      <c r="EB197" s="134"/>
      <c r="EC197" s="134"/>
      <c r="ED197" s="123"/>
      <c r="EH197" s="46">
        <v>0</v>
      </c>
      <c r="EI197" s="56"/>
      <c r="EJ197" s="33" t="b">
        <f t="shared" si="171"/>
        <v>0</v>
      </c>
      <c r="EK197" s="57"/>
      <c r="EL197" s="57"/>
      <c r="EM197" s="57"/>
      <c r="EN197" s="494"/>
      <c r="EO197" s="494"/>
      <c r="EP197" s="494"/>
      <c r="EQ197" s="54"/>
      <c r="ER197" s="43">
        <v>1</v>
      </c>
      <c r="ES197" s="54"/>
      <c r="ET197" s="442"/>
      <c r="EU197" s="32"/>
      <c r="EV197" s="32"/>
      <c r="EZ197" s="393" t="s">
        <v>211</v>
      </c>
      <c r="FA197" s="393" t="s">
        <v>211</v>
      </c>
      <c r="FB197" s="389">
        <v>3045</v>
      </c>
      <c r="FC197" s="389">
        <v>3212</v>
      </c>
      <c r="FD197" s="389">
        <v>3295</v>
      </c>
      <c r="FE197" s="389">
        <v>3275.5</v>
      </c>
      <c r="FF197" s="389">
        <v>3219.9</v>
      </c>
      <c r="FG197" s="390">
        <v>5.1681195516811952E-3</v>
      </c>
      <c r="FH197" s="390">
        <v>-1.1836115326251896E-3</v>
      </c>
      <c r="FI197" s="390">
        <v>-3.3949015417493456E-3</v>
      </c>
      <c r="FJ197" s="391">
        <v>1.8682565589907931</v>
      </c>
      <c r="FK197" s="391" t="s">
        <v>1386</v>
      </c>
      <c r="FL197" s="31" t="s">
        <v>1379</v>
      </c>
      <c r="FN197" s="128" t="s">
        <v>1763</v>
      </c>
      <c r="FO197" s="128" t="s">
        <v>1764</v>
      </c>
      <c r="FP197" s="128"/>
    </row>
    <row r="198" spans="1:177" ht="22" hidden="1" customHeight="1" x14ac:dyDescent="0.2">
      <c r="A198" s="13" t="s">
        <v>24</v>
      </c>
      <c r="B198" s="14" t="s">
        <v>90</v>
      </c>
      <c r="C198" s="14"/>
      <c r="D198" s="14"/>
      <c r="E198" s="128" t="s">
        <v>212</v>
      </c>
      <c r="F198" s="15"/>
      <c r="G198" s="15" t="s">
        <v>634</v>
      </c>
      <c r="H198" s="91">
        <f t="shared" si="210"/>
        <v>1</v>
      </c>
      <c r="I198" s="95">
        <f t="shared" si="203"/>
        <v>0</v>
      </c>
      <c r="J198" s="91"/>
      <c r="K198" s="256">
        <f t="shared" ref="K198:K203" si="212">SUM(H198:J198)</f>
        <v>1</v>
      </c>
      <c r="L198" s="101">
        <v>0</v>
      </c>
      <c r="M198" s="99"/>
      <c r="N198" s="89"/>
      <c r="O198" s="98" t="str">
        <f t="shared" si="211"/>
        <v>_x000D__x000D_</v>
      </c>
      <c r="P198" s="98"/>
      <c r="Q198" s="217"/>
      <c r="R198" s="64" t="s">
        <v>918</v>
      </c>
      <c r="S198" s="218"/>
      <c r="T198" s="300" t="s">
        <v>834</v>
      </c>
      <c r="U198" s="300" t="s">
        <v>834</v>
      </c>
      <c r="V198" s="300" t="s">
        <v>834</v>
      </c>
      <c r="W198" s="258"/>
      <c r="X198" s="307" t="s">
        <v>834</v>
      </c>
      <c r="Y198" s="274"/>
      <c r="Z198" s="426"/>
      <c r="AA198" s="320">
        <f t="shared" si="182"/>
        <v>0</v>
      </c>
      <c r="AB198" s="320">
        <f t="shared" si="183"/>
        <v>0</v>
      </c>
      <c r="AC198" s="320">
        <f t="shared" si="184"/>
        <v>0</v>
      </c>
      <c r="AD198" s="320">
        <f t="shared" si="185"/>
        <v>0</v>
      </c>
      <c r="AE198" s="320">
        <f t="shared" si="186"/>
        <v>0</v>
      </c>
      <c r="AF198" s="320">
        <f t="shared" si="187"/>
        <v>0</v>
      </c>
      <c r="AG198" s="320">
        <f t="shared" si="188"/>
        <v>0</v>
      </c>
      <c r="AH198" s="427"/>
      <c r="AI198" s="320">
        <f t="shared" si="189"/>
        <v>0</v>
      </c>
      <c r="AJ198" s="320">
        <f t="shared" si="190"/>
        <v>0</v>
      </c>
      <c r="AK198" s="320">
        <f t="shared" si="191"/>
        <v>0</v>
      </c>
      <c r="AL198" s="320">
        <f t="shared" si="192"/>
        <v>0</v>
      </c>
      <c r="AM198" s="320">
        <f t="shared" si="193"/>
        <v>0</v>
      </c>
      <c r="AN198" s="320">
        <f t="shared" si="194"/>
        <v>0</v>
      </c>
      <c r="AO198" s="427"/>
      <c r="AP198" s="320">
        <f t="shared" si="173"/>
        <v>0</v>
      </c>
      <c r="AQ198" s="320">
        <f t="shared" ref="AQ198:AQ203" si="213">IF(ISNUMBER(SEARCH("1s",$AO198)),1,0)</f>
        <v>0</v>
      </c>
      <c r="AR198" s="320">
        <f t="shared" ref="AR198:AR203" si="214">IF(ISNUMBER(SEARCH("2",$AO198)),1,0)</f>
        <v>0</v>
      </c>
      <c r="AS198" s="320">
        <f t="shared" ref="AS198:AS203" si="215">IF(ISNUMBER(SEARCH("2s",$AO198)),1,0)</f>
        <v>0</v>
      </c>
      <c r="AT198" s="320">
        <f t="shared" ref="AT198:AT203" si="216">IF(ISNUMBER(SEARCH("3",$AO198)),1,0)</f>
        <v>0</v>
      </c>
      <c r="AU198" s="320">
        <f t="shared" ref="AU198:AU203" si="217">IF(ISNUMBER(SEARCH("3s",$AO198)),1,0)</f>
        <v>0</v>
      </c>
      <c r="AV198" s="427"/>
      <c r="AW198" s="320">
        <f t="shared" ref="AW198:AW203" si="218">IF(ISNUMBER(SEARCH("1",$AV198)),1,0)</f>
        <v>0</v>
      </c>
      <c r="AX198" s="320">
        <f t="shared" ref="AX198:AX203" si="219">IF(ISNUMBER(SEARCH("2",$AV198)),1,0)</f>
        <v>0</v>
      </c>
      <c r="AY198" s="320">
        <f t="shared" ref="AY198:AY203" si="220">IF(ISNUMBER(SEARCH("3",$AV198)),1,0)</f>
        <v>0</v>
      </c>
      <c r="AZ198" s="320">
        <f t="shared" ref="AZ198:AZ203" si="221">IF(ISNUMBER(SEARCH("4",$AV198)),1,0)</f>
        <v>0</v>
      </c>
      <c r="BA198" s="17"/>
      <c r="BB198" s="17" t="s">
        <v>834</v>
      </c>
      <c r="BC198" s="17"/>
      <c r="BD198" s="17"/>
      <c r="BE198" s="17"/>
      <c r="BF198" s="17"/>
      <c r="BG198" s="428">
        <f t="shared" si="195"/>
        <v>0</v>
      </c>
      <c r="BH198" s="17"/>
      <c r="BI198" s="17"/>
      <c r="BJ198" s="17"/>
      <c r="BK198" s="17"/>
      <c r="BL198" s="17"/>
      <c r="BM198" s="17"/>
      <c r="BN198" s="320">
        <f t="shared" si="196"/>
        <v>0</v>
      </c>
      <c r="BO198" s="320">
        <f t="shared" si="197"/>
        <v>0</v>
      </c>
      <c r="BP198" s="427"/>
      <c r="BQ198" s="427"/>
      <c r="BR198" s="320">
        <f t="shared" si="207"/>
        <v>0</v>
      </c>
      <c r="BS198" s="320">
        <f t="shared" si="207"/>
        <v>0</v>
      </c>
      <c r="BT198" s="427"/>
      <c r="BU198" s="320">
        <f t="shared" si="198"/>
        <v>0</v>
      </c>
      <c r="BV198" s="320">
        <f t="shared" ref="BV198:BV203" si="222">IF(ISNUMBER(SEARCH("2",$BT198)),1,0)</f>
        <v>0</v>
      </c>
      <c r="BW198" s="320">
        <f t="shared" si="175"/>
        <v>0</v>
      </c>
      <c r="BX198" s="427"/>
      <c r="BY198" s="320">
        <f t="shared" si="208"/>
        <v>0</v>
      </c>
      <c r="BZ198" s="320">
        <f t="shared" ref="BZ198:BZ203" si="223">IF(ISNUMBER(SEARCH("2",$BX198)),1,0)</f>
        <v>0</v>
      </c>
      <c r="CA198" s="320">
        <f t="shared" si="206"/>
        <v>0</v>
      </c>
      <c r="CB198" s="320">
        <f t="shared" si="209"/>
        <v>0</v>
      </c>
      <c r="CC198" s="427"/>
      <c r="CD198" s="320">
        <f t="shared" ref="CD198:CD203" si="224">IF(ISNUMBER(SEARCH("1",$CC198)),1,0)</f>
        <v>0</v>
      </c>
      <c r="CE198" s="320">
        <f t="shared" ref="CE198:CE203" si="225">IF(ISNUMBER(SEARCH("2",$CC198)),1,0)</f>
        <v>0</v>
      </c>
      <c r="CF198" s="320">
        <f t="shared" ref="CF198:CF203" si="226">IF(ISNUMBER(SEARCH("3",$CC198)),1,0)</f>
        <v>0</v>
      </c>
      <c r="CG198" s="320">
        <f t="shared" ref="CG198:CG203" si="227">IF(ISNUMBER(SEARCH("s",$CC198)),1,0)</f>
        <v>0</v>
      </c>
      <c r="CH198" s="427"/>
      <c r="CI198" s="427"/>
      <c r="CJ198" s="427"/>
      <c r="CK198" s="427"/>
      <c r="CL198" s="320">
        <f t="shared" si="178"/>
        <v>0</v>
      </c>
      <c r="CM198" s="320">
        <f t="shared" ref="CM198:CM203" si="228">IF(ISNUMBER(SEARCH("2",$CK198)),1,0)</f>
        <v>0</v>
      </c>
      <c r="CN198" s="320">
        <f t="shared" ref="CN198:CN203" si="229">IF(ISNUMBER(SEARCH("3",$CK198)),1,0)</f>
        <v>0</v>
      </c>
      <c r="CO198" s="320">
        <f t="shared" si="204"/>
        <v>0</v>
      </c>
      <c r="CP198" s="427"/>
      <c r="CQ198" s="427"/>
      <c r="CR198" s="320">
        <f t="shared" ref="CR198:CR203" si="230">IF(ISNUMBER(SEARCH("1",$CQ198)),1,0)</f>
        <v>0</v>
      </c>
      <c r="CS198" s="320">
        <f t="shared" si="176"/>
        <v>0</v>
      </c>
      <c r="CT198" s="320">
        <f t="shared" si="200"/>
        <v>0</v>
      </c>
      <c r="CU198" s="320">
        <f t="shared" si="201"/>
        <v>0</v>
      </c>
      <c r="CV198" s="427"/>
      <c r="CW198" s="17"/>
      <c r="CX198" s="320">
        <f t="shared" si="202"/>
        <v>0</v>
      </c>
      <c r="CY198" s="320">
        <f t="shared" ref="CY198:CY203" si="231">IF(ISNUMBER(SEARCH("2",$CW198)),1,0)</f>
        <v>0</v>
      </c>
      <c r="CZ198" s="320">
        <f t="shared" ref="CZ198:CZ203" si="232">IF(ISNUMBER(SEARCH("3",$CW198)),1,0)</f>
        <v>0</v>
      </c>
      <c r="DA198" s="17"/>
      <c r="DB198" s="17"/>
      <c r="DC198" s="17"/>
      <c r="DD198" s="31"/>
      <c r="DE198" s="323"/>
      <c r="DF198" s="323"/>
      <c r="DG198" s="323"/>
      <c r="DH198" s="323"/>
      <c r="DI198" s="323"/>
      <c r="DJ198" s="323"/>
      <c r="DK198" s="323"/>
      <c r="DL198" s="323" t="s">
        <v>502</v>
      </c>
      <c r="DM198" s="323"/>
      <c r="DN198" s="323"/>
      <c r="DO198" s="323"/>
      <c r="DP198" s="324"/>
      <c r="DQ198" s="288"/>
      <c r="DR198" s="242"/>
      <c r="DS198" s="429">
        <f t="shared" ref="DS198:DS203" si="233">SUM(AA198:AG198,AI198:AN198,AP198:AU198,AW198:AZ198)/23</f>
        <v>0</v>
      </c>
      <c r="DT198" s="429"/>
      <c r="DU198" s="429"/>
      <c r="DV198" s="429"/>
      <c r="DW198" s="429"/>
      <c r="DX198" s="429"/>
      <c r="DY198" s="429"/>
      <c r="DZ198" s="134"/>
      <c r="EA198" s="134"/>
      <c r="EB198" s="134"/>
      <c r="EC198" s="134"/>
      <c r="ED198" s="123"/>
      <c r="EH198" s="44">
        <v>0</v>
      </c>
      <c r="EI198" s="56"/>
      <c r="EJ198" s="33" t="b">
        <f t="shared" ref="EJ198:EJ203" si="234">IF((EI198*L198)&gt;0, L198/EI198)</f>
        <v>0</v>
      </c>
      <c r="EK198" s="57"/>
      <c r="EL198" s="57"/>
      <c r="EM198" s="57"/>
      <c r="EN198" s="494"/>
      <c r="EO198" s="494"/>
      <c r="EP198" s="494"/>
      <c r="EQ198" s="62"/>
      <c r="ER198" s="43">
        <v>1</v>
      </c>
      <c r="ES198" s="62"/>
      <c r="ET198" s="442"/>
      <c r="EU198" s="32"/>
      <c r="EV198" s="32"/>
      <c r="EZ198" s="393" t="s">
        <v>212</v>
      </c>
      <c r="FA198" s="393" t="s">
        <v>212</v>
      </c>
      <c r="FB198" s="389">
        <v>440</v>
      </c>
      <c r="FC198" s="389">
        <v>440</v>
      </c>
      <c r="FD198" s="389">
        <v>440</v>
      </c>
      <c r="FE198" s="389">
        <v>440</v>
      </c>
      <c r="FF198" s="389">
        <v>440</v>
      </c>
      <c r="FG198" s="390">
        <v>0</v>
      </c>
      <c r="FH198" s="390">
        <v>0</v>
      </c>
      <c r="FI198" s="390">
        <v>0</v>
      </c>
      <c r="FJ198" s="391">
        <v>0</v>
      </c>
      <c r="FK198" s="391" t="s">
        <v>1386</v>
      </c>
      <c r="FL198" s="31" t="s">
        <v>1387</v>
      </c>
      <c r="FN198" s="128" t="s">
        <v>1765</v>
      </c>
      <c r="FO198" s="128" t="s">
        <v>1766</v>
      </c>
      <c r="FP198" s="128"/>
    </row>
    <row r="199" spans="1:177" ht="22" hidden="1" customHeight="1" x14ac:dyDescent="0.2">
      <c r="A199" s="16" t="s">
        <v>16</v>
      </c>
      <c r="B199" s="19" t="s">
        <v>19</v>
      </c>
      <c r="C199" s="19"/>
      <c r="D199" s="19"/>
      <c r="E199" s="128" t="s">
        <v>213</v>
      </c>
      <c r="F199" s="15" t="s">
        <v>637</v>
      </c>
      <c r="G199" s="15" t="s">
        <v>635</v>
      </c>
      <c r="H199" s="91">
        <f t="shared" si="210"/>
        <v>0</v>
      </c>
      <c r="I199" s="95">
        <f t="shared" si="203"/>
        <v>0</v>
      </c>
      <c r="J199" s="91"/>
      <c r="K199" s="256">
        <f t="shared" si="212"/>
        <v>0</v>
      </c>
      <c r="L199" s="101">
        <v>0</v>
      </c>
      <c r="M199" s="99"/>
      <c r="N199" s="89"/>
      <c r="O199" s="98" t="str">
        <f t="shared" si="211"/>
        <v>_x000D__x000D_</v>
      </c>
      <c r="P199" s="144" t="str">
        <f>CONCATENATE(V199,R199,X199)</f>
        <v>N/A_x000D__x000D_</v>
      </c>
      <c r="Q199" s="217"/>
      <c r="R199" s="64" t="s">
        <v>918</v>
      </c>
      <c r="S199" s="221"/>
      <c r="T199" s="300" t="s">
        <v>925</v>
      </c>
      <c r="U199" s="300" t="s">
        <v>953</v>
      </c>
      <c r="V199" s="300" t="s">
        <v>388</v>
      </c>
      <c r="W199" s="258"/>
      <c r="X199" s="307"/>
      <c r="Y199" s="274"/>
      <c r="Z199" s="426" t="s">
        <v>229</v>
      </c>
      <c r="AA199" s="320">
        <f t="shared" si="182"/>
        <v>0</v>
      </c>
      <c r="AB199" s="320">
        <f t="shared" si="183"/>
        <v>0</v>
      </c>
      <c r="AC199" s="320">
        <f t="shared" si="184"/>
        <v>0</v>
      </c>
      <c r="AD199" s="320">
        <f t="shared" si="185"/>
        <v>0</v>
      </c>
      <c r="AE199" s="320">
        <f t="shared" si="186"/>
        <v>0</v>
      </c>
      <c r="AF199" s="320">
        <f t="shared" si="187"/>
        <v>0</v>
      </c>
      <c r="AG199" s="320">
        <f t="shared" si="188"/>
        <v>1</v>
      </c>
      <c r="AH199" s="427">
        <v>1</v>
      </c>
      <c r="AI199" s="320">
        <f t="shared" si="189"/>
        <v>1</v>
      </c>
      <c r="AJ199" s="320">
        <f t="shared" si="190"/>
        <v>0</v>
      </c>
      <c r="AK199" s="320">
        <f t="shared" si="191"/>
        <v>0</v>
      </c>
      <c r="AL199" s="320">
        <f t="shared" si="192"/>
        <v>0</v>
      </c>
      <c r="AM199" s="320">
        <f t="shared" si="193"/>
        <v>0</v>
      </c>
      <c r="AN199" s="320">
        <f t="shared" si="194"/>
        <v>0</v>
      </c>
      <c r="AO199" s="427" t="s">
        <v>236</v>
      </c>
      <c r="AP199" s="320">
        <f t="shared" ref="AP199:AP203" si="235">IF(ISNUMBER(SEARCH("1",$AO199)),1,0)</f>
        <v>1</v>
      </c>
      <c r="AQ199" s="320">
        <f t="shared" si="213"/>
        <v>1</v>
      </c>
      <c r="AR199" s="320">
        <f t="shared" si="214"/>
        <v>1</v>
      </c>
      <c r="AS199" s="320">
        <f t="shared" si="215"/>
        <v>1</v>
      </c>
      <c r="AT199" s="320">
        <f t="shared" si="216"/>
        <v>1</v>
      </c>
      <c r="AU199" s="320">
        <f t="shared" si="217"/>
        <v>1</v>
      </c>
      <c r="AV199" s="427">
        <v>0</v>
      </c>
      <c r="AW199" s="320">
        <f t="shared" si="218"/>
        <v>0</v>
      </c>
      <c r="AX199" s="320">
        <f t="shared" si="219"/>
        <v>0</v>
      </c>
      <c r="AY199" s="320">
        <f t="shared" si="220"/>
        <v>0</v>
      </c>
      <c r="AZ199" s="320">
        <f t="shared" si="221"/>
        <v>0</v>
      </c>
      <c r="BA199" s="17">
        <v>0</v>
      </c>
      <c r="BB199" s="17" t="s">
        <v>834</v>
      </c>
      <c r="BC199" s="17">
        <v>0</v>
      </c>
      <c r="BD199" s="17">
        <v>0</v>
      </c>
      <c r="BE199" s="17">
        <v>1</v>
      </c>
      <c r="BF199" s="17">
        <v>1</v>
      </c>
      <c r="BG199" s="428">
        <f t="shared" si="195"/>
        <v>1</v>
      </c>
      <c r="BH199" s="17"/>
      <c r="BI199" s="17">
        <v>1</v>
      </c>
      <c r="BJ199" s="17" t="s">
        <v>1137</v>
      </c>
      <c r="BK199" s="17"/>
      <c r="BL199" s="17">
        <v>1</v>
      </c>
      <c r="BM199" s="17" t="s">
        <v>1148</v>
      </c>
      <c r="BN199" s="320">
        <f t="shared" si="196"/>
        <v>1</v>
      </c>
      <c r="BO199" s="320">
        <f t="shared" si="197"/>
        <v>0</v>
      </c>
      <c r="BP199" s="427">
        <v>0</v>
      </c>
      <c r="BQ199" s="427" t="s">
        <v>834</v>
      </c>
      <c r="BR199" s="320">
        <f t="shared" si="207"/>
        <v>0</v>
      </c>
      <c r="BS199" s="320">
        <f t="shared" si="207"/>
        <v>0</v>
      </c>
      <c r="BT199" s="427">
        <v>1</v>
      </c>
      <c r="BU199" s="320">
        <f t="shared" si="198"/>
        <v>1</v>
      </c>
      <c r="BV199" s="320">
        <f t="shared" si="222"/>
        <v>0</v>
      </c>
      <c r="BW199" s="320">
        <f t="shared" ref="BW199:BW203" si="236">IF(ISNUMBER(SEARCH("t",$BT199)),1,0)</f>
        <v>0</v>
      </c>
      <c r="BX199" s="427" t="s">
        <v>243</v>
      </c>
      <c r="BY199" s="320">
        <f t="shared" si="208"/>
        <v>1</v>
      </c>
      <c r="BZ199" s="320">
        <f t="shared" si="223"/>
        <v>0</v>
      </c>
      <c r="CA199" s="320">
        <f t="shared" si="206"/>
        <v>1</v>
      </c>
      <c r="CB199" s="320">
        <f t="shared" si="209"/>
        <v>0</v>
      </c>
      <c r="CC199" s="427">
        <v>1</v>
      </c>
      <c r="CD199" s="320">
        <f t="shared" si="224"/>
        <v>1</v>
      </c>
      <c r="CE199" s="320">
        <f t="shared" si="225"/>
        <v>0</v>
      </c>
      <c r="CF199" s="320">
        <f t="shared" si="226"/>
        <v>0</v>
      </c>
      <c r="CG199" s="320">
        <f t="shared" si="227"/>
        <v>0</v>
      </c>
      <c r="CH199" s="427">
        <v>0</v>
      </c>
      <c r="CI199" s="427">
        <v>0</v>
      </c>
      <c r="CJ199" s="427">
        <v>0</v>
      </c>
      <c r="CK199" s="427">
        <v>0</v>
      </c>
      <c r="CL199" s="320">
        <f t="shared" si="178"/>
        <v>0</v>
      </c>
      <c r="CM199" s="320">
        <f t="shared" si="228"/>
        <v>0</v>
      </c>
      <c r="CN199" s="320">
        <f t="shared" si="229"/>
        <v>0</v>
      </c>
      <c r="CO199" s="320">
        <f t="shared" si="204"/>
        <v>0</v>
      </c>
      <c r="CP199" s="427">
        <v>0</v>
      </c>
      <c r="CQ199" s="427">
        <v>0</v>
      </c>
      <c r="CR199" s="320">
        <f t="shared" si="230"/>
        <v>0</v>
      </c>
      <c r="CS199" s="320">
        <f t="shared" ref="CS199:CS203" si="237">IF(ISNUMBER(SEARCH("1s",$CQ199)),1,0)</f>
        <v>0</v>
      </c>
      <c r="CT199" s="320">
        <f t="shared" si="200"/>
        <v>0</v>
      </c>
      <c r="CU199" s="320">
        <f t="shared" si="201"/>
        <v>0</v>
      </c>
      <c r="CV199" s="427">
        <v>0</v>
      </c>
      <c r="CW199" s="17">
        <v>0</v>
      </c>
      <c r="CX199" s="320">
        <f t="shared" si="202"/>
        <v>0</v>
      </c>
      <c r="CY199" s="320">
        <f t="shared" si="231"/>
        <v>0</v>
      </c>
      <c r="CZ199" s="320">
        <f t="shared" si="232"/>
        <v>0</v>
      </c>
      <c r="DA199" s="17">
        <v>0</v>
      </c>
      <c r="DB199" s="17">
        <v>0</v>
      </c>
      <c r="DC199" s="17">
        <v>0</v>
      </c>
      <c r="DD199" s="31"/>
      <c r="DE199" s="335" t="s">
        <v>387</v>
      </c>
      <c r="DF199" s="321" t="s">
        <v>388</v>
      </c>
      <c r="DG199" s="321" t="s">
        <v>388</v>
      </c>
      <c r="DH199" s="321" t="s">
        <v>387</v>
      </c>
      <c r="DI199" s="321"/>
      <c r="DJ199" s="321" t="s">
        <v>388</v>
      </c>
      <c r="DK199" s="321" t="s">
        <v>388</v>
      </c>
      <c r="DL199" s="321" t="s">
        <v>388</v>
      </c>
      <c r="DM199" s="321" t="s">
        <v>388</v>
      </c>
      <c r="DN199" s="321" t="s">
        <v>388</v>
      </c>
      <c r="DO199" s="321" t="s">
        <v>388</v>
      </c>
      <c r="DP199" s="322"/>
      <c r="DQ199" s="289"/>
      <c r="DR199" s="239">
        <f>SUM(DS199:DX199)/6</f>
        <v>0.24037842190016104</v>
      </c>
      <c r="DS199" s="429">
        <f t="shared" si="233"/>
        <v>0.34782608695652173</v>
      </c>
      <c r="DT199" s="429">
        <f>SUM(BA199:BE199,BG199)/5</f>
        <v>0.4</v>
      </c>
      <c r="DU199" s="429">
        <f>SUM(BI199,BO199,BS199,BU199:BW199)/6</f>
        <v>0.33333333333333331</v>
      </c>
      <c r="DV199" s="429">
        <f>SUM(BY199-CB199,CD199-CG199)/8</f>
        <v>0.25</v>
      </c>
      <c r="DW199" s="429">
        <f>SUM(CH199:CJ199,CL199:CO199,BN199,BR199)/9</f>
        <v>0.1111111111111111</v>
      </c>
      <c r="DX199" s="429">
        <f>SUM(CP199,CR199:CV199)/6</f>
        <v>0</v>
      </c>
      <c r="DY199" s="429"/>
      <c r="DZ199" s="140" t="s">
        <v>719</v>
      </c>
      <c r="EA199" s="140" t="s">
        <v>720</v>
      </c>
      <c r="EB199" s="139" t="s">
        <v>803</v>
      </c>
      <c r="EC199" s="139" t="s">
        <v>771</v>
      </c>
      <c r="ED199" s="123">
        <v>3</v>
      </c>
      <c r="EH199" s="44">
        <v>0</v>
      </c>
      <c r="EI199" s="56"/>
      <c r="EJ199" s="33" t="b">
        <f t="shared" si="234"/>
        <v>0</v>
      </c>
      <c r="EK199" s="57"/>
      <c r="EL199" s="57"/>
      <c r="EM199" s="57"/>
      <c r="EN199" s="441"/>
      <c r="EO199" s="441"/>
      <c r="EP199" s="441"/>
      <c r="EQ199" s="62"/>
      <c r="ER199" s="67"/>
      <c r="ES199" s="62"/>
      <c r="ET199" s="442" t="s">
        <v>256</v>
      </c>
      <c r="EU199" s="32"/>
      <c r="EV199" s="32"/>
      <c r="EZ199" s="393" t="s">
        <v>213</v>
      </c>
      <c r="FA199" s="393" t="s">
        <v>718</v>
      </c>
      <c r="FB199" s="389">
        <v>52026</v>
      </c>
      <c r="FC199" s="389">
        <v>49151</v>
      </c>
      <c r="FD199" s="389">
        <v>47713</v>
      </c>
      <c r="FE199" s="389">
        <v>47505</v>
      </c>
      <c r="FF199" s="389">
        <v>46683</v>
      </c>
      <c r="FG199" s="390">
        <v>-5.8513560253097598E-3</v>
      </c>
      <c r="FH199" s="390">
        <v>-8.7187978119170875E-4</v>
      </c>
      <c r="FI199" s="390">
        <v>-3.4606883485948847E-3</v>
      </c>
      <c r="FJ199" s="391">
        <v>2.9692265186660514</v>
      </c>
      <c r="FK199" s="391" t="s">
        <v>1386</v>
      </c>
      <c r="FL199" s="31" t="s">
        <v>1379</v>
      </c>
      <c r="FN199" s="128" t="s">
        <v>1767</v>
      </c>
      <c r="FO199" s="128" t="s">
        <v>1768</v>
      </c>
      <c r="FP199" s="128"/>
    </row>
    <row r="200" spans="1:177" ht="22" hidden="1" customHeight="1" x14ac:dyDescent="0.2">
      <c r="A200" s="13" t="s">
        <v>4</v>
      </c>
      <c r="B200" s="14" t="s">
        <v>47</v>
      </c>
      <c r="C200" s="9" t="s">
        <v>1059</v>
      </c>
      <c r="D200" s="14" t="s">
        <v>1068</v>
      </c>
      <c r="E200" s="128" t="s">
        <v>214</v>
      </c>
      <c r="F200" s="15" t="s">
        <v>638</v>
      </c>
      <c r="G200" s="15" t="s">
        <v>635</v>
      </c>
      <c r="H200" s="91">
        <f t="shared" si="210"/>
        <v>0</v>
      </c>
      <c r="I200" s="95">
        <f t="shared" si="203"/>
        <v>2</v>
      </c>
      <c r="J200" s="91"/>
      <c r="K200" s="256">
        <f t="shared" si="212"/>
        <v>2</v>
      </c>
      <c r="L200" s="101" t="s">
        <v>678</v>
      </c>
      <c r="M200" s="99">
        <v>1</v>
      </c>
      <c r="N200" s="89"/>
      <c r="O200" s="98" t="str">
        <f t="shared" si="211"/>
        <v>_x000D__x000D_</v>
      </c>
      <c r="P200" s="144" t="str">
        <f>CONCATENATE(V200,R200,X200)</f>
        <v>Measures to achieve the GHG emissions mitigation targets of the INDC:_x000D_- Manage and develop sustainable forest, enhance carbon sequestration and environmental services; conservation of biodiversity associated with livelihood development and income generation for communities and forest-dependent people_x000D_-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people;_x000D_- Develop and improve policies to promote sustainable forest management; mechanisms and policies to attract private sector investment for sustainable forest management, afforestation, reforestation, biodiversity conservation and livelihood development;_x000D_- Integrate and effectively use domestic and international resources for implementation of programmes and projects related to forest management and development, livelihoods and biodiversity conservation such as REDD+, the policy of payment for forest environmental services (PFES), etc._x000D_- Strengthen and expand international cooperation for investment, technical assistance and capacity building, information and experience sharing on the sustainable forest management and development, biodiversity conservation and livelihood development._x000D__x000D_Climate change adaptation activities until 2030 will be evaluated based on the following key indicators:_x000D_- At least 90% of Socio-Economic Development Plans have integrated disaster risk management and climate change adaptation;_x000D_- The average national poverty rate is lowered 2%/year; in poor districts and communes it is lowered by 4%/year;_x000D_- Forest coverage increases to 45%; the area of protection forest in coastal areas is increased to 380,000 hectares, including 20,000 to 50,000ha of additional mangrove planting;</v>
      </c>
      <c r="Q200" s="217"/>
      <c r="R200" s="64" t="s">
        <v>918</v>
      </c>
      <c r="S200" s="218"/>
      <c r="T200" s="300" t="s">
        <v>1007</v>
      </c>
      <c r="U200" s="300" t="s">
        <v>925</v>
      </c>
      <c r="V200" s="317" t="s">
        <v>937</v>
      </c>
      <c r="W200" s="258"/>
      <c r="X200" s="307" t="s">
        <v>938</v>
      </c>
      <c r="Y200" s="297"/>
      <c r="Z200" s="426">
        <v>1</v>
      </c>
      <c r="AA200" s="320">
        <f t="shared" si="182"/>
        <v>1</v>
      </c>
      <c r="AB200" s="320">
        <f t="shared" si="183"/>
        <v>0</v>
      </c>
      <c r="AC200" s="320">
        <f t="shared" si="184"/>
        <v>0</v>
      </c>
      <c r="AD200" s="320">
        <f t="shared" si="185"/>
        <v>0</v>
      </c>
      <c r="AE200" s="320">
        <f t="shared" si="186"/>
        <v>0</v>
      </c>
      <c r="AF200" s="320">
        <f t="shared" si="187"/>
        <v>0</v>
      </c>
      <c r="AG200" s="320">
        <f t="shared" si="188"/>
        <v>0</v>
      </c>
      <c r="AH200" s="427">
        <v>1</v>
      </c>
      <c r="AI200" s="320">
        <f t="shared" si="189"/>
        <v>1</v>
      </c>
      <c r="AJ200" s="320">
        <f t="shared" si="190"/>
        <v>0</v>
      </c>
      <c r="AK200" s="320">
        <f t="shared" si="191"/>
        <v>0</v>
      </c>
      <c r="AL200" s="320">
        <f t="shared" si="192"/>
        <v>0</v>
      </c>
      <c r="AM200" s="320">
        <f t="shared" si="193"/>
        <v>0</v>
      </c>
      <c r="AN200" s="320">
        <f t="shared" si="194"/>
        <v>0</v>
      </c>
      <c r="AO200" s="427" t="s">
        <v>317</v>
      </c>
      <c r="AP200" s="320">
        <f t="shared" si="235"/>
        <v>1</v>
      </c>
      <c r="AQ200" s="320">
        <f t="shared" si="213"/>
        <v>0</v>
      </c>
      <c r="AR200" s="320">
        <f t="shared" si="214"/>
        <v>1</v>
      </c>
      <c r="AS200" s="320">
        <f t="shared" si="215"/>
        <v>0</v>
      </c>
      <c r="AT200" s="320">
        <f t="shared" si="216"/>
        <v>0</v>
      </c>
      <c r="AU200" s="320">
        <f t="shared" si="217"/>
        <v>0</v>
      </c>
      <c r="AV200" s="427">
        <v>1</v>
      </c>
      <c r="AW200" s="320">
        <f t="shared" si="218"/>
        <v>1</v>
      </c>
      <c r="AX200" s="320">
        <f t="shared" si="219"/>
        <v>0</v>
      </c>
      <c r="AY200" s="320">
        <f t="shared" si="220"/>
        <v>0</v>
      </c>
      <c r="AZ200" s="320">
        <f t="shared" si="221"/>
        <v>0</v>
      </c>
      <c r="BA200" s="17">
        <v>1</v>
      </c>
      <c r="BB200" s="17" t="s">
        <v>1278</v>
      </c>
      <c r="BC200" s="17">
        <v>0</v>
      </c>
      <c r="BD200" s="17">
        <v>0</v>
      </c>
      <c r="BE200" s="17">
        <v>0</v>
      </c>
      <c r="BF200" s="17" t="s">
        <v>315</v>
      </c>
      <c r="BG200" s="428">
        <f t="shared" si="195"/>
        <v>1</v>
      </c>
      <c r="BH200" s="17">
        <v>1</v>
      </c>
      <c r="BI200" s="17">
        <v>0</v>
      </c>
      <c r="BJ200" s="17" t="s">
        <v>834</v>
      </c>
      <c r="BK200" s="17"/>
      <c r="BL200" s="17">
        <v>0</v>
      </c>
      <c r="BM200" s="17" t="s">
        <v>834</v>
      </c>
      <c r="BN200" s="320">
        <f t="shared" si="196"/>
        <v>0</v>
      </c>
      <c r="BO200" s="320">
        <f t="shared" si="197"/>
        <v>0</v>
      </c>
      <c r="BP200" s="427">
        <v>1</v>
      </c>
      <c r="BQ200" s="427" t="s">
        <v>1232</v>
      </c>
      <c r="BR200" s="320">
        <f t="shared" si="207"/>
        <v>1</v>
      </c>
      <c r="BS200" s="320">
        <f>IF(ISNUMBER(SEARCH("t",$BP200)),1,0)</f>
        <v>0</v>
      </c>
      <c r="BT200" s="427">
        <v>1</v>
      </c>
      <c r="BU200" s="320">
        <f t="shared" si="198"/>
        <v>1</v>
      </c>
      <c r="BV200" s="320">
        <f t="shared" si="222"/>
        <v>0</v>
      </c>
      <c r="BW200" s="320">
        <f t="shared" si="236"/>
        <v>0</v>
      </c>
      <c r="BX200" s="427" t="s">
        <v>361</v>
      </c>
      <c r="BY200" s="320">
        <f t="shared" si="208"/>
        <v>1</v>
      </c>
      <c r="BZ200" s="320">
        <f t="shared" si="223"/>
        <v>0</v>
      </c>
      <c r="CA200" s="320">
        <f t="shared" si="206"/>
        <v>1</v>
      </c>
      <c r="CB200" s="320">
        <f t="shared" si="209"/>
        <v>0</v>
      </c>
      <c r="CC200" s="427">
        <v>0</v>
      </c>
      <c r="CD200" s="320">
        <f t="shared" si="224"/>
        <v>0</v>
      </c>
      <c r="CE200" s="320">
        <f t="shared" si="225"/>
        <v>0</v>
      </c>
      <c r="CF200" s="320">
        <f t="shared" si="226"/>
        <v>0</v>
      </c>
      <c r="CG200" s="320">
        <f t="shared" si="227"/>
        <v>0</v>
      </c>
      <c r="CH200" s="427">
        <v>1</v>
      </c>
      <c r="CI200" s="427">
        <v>0</v>
      </c>
      <c r="CJ200" s="427">
        <v>0</v>
      </c>
      <c r="CK200" s="427" t="s">
        <v>221</v>
      </c>
      <c r="CL200" s="320">
        <f t="shared" ref="CL200:CL203" si="238">IF(ISNUMBER(SEARCH("1",$CK200)),1,0)</f>
        <v>1</v>
      </c>
      <c r="CM200" s="320">
        <f t="shared" si="228"/>
        <v>0</v>
      </c>
      <c r="CN200" s="320">
        <f t="shared" si="229"/>
        <v>0</v>
      </c>
      <c r="CO200" s="320">
        <f t="shared" si="204"/>
        <v>1</v>
      </c>
      <c r="CP200" s="427">
        <v>0</v>
      </c>
      <c r="CQ200" s="427" t="s">
        <v>317</v>
      </c>
      <c r="CR200" s="320">
        <f t="shared" si="230"/>
        <v>1</v>
      </c>
      <c r="CS200" s="320">
        <f t="shared" si="237"/>
        <v>0</v>
      </c>
      <c r="CT200" s="320">
        <f t="shared" si="200"/>
        <v>1</v>
      </c>
      <c r="CU200" s="320">
        <f t="shared" si="201"/>
        <v>0</v>
      </c>
      <c r="CV200" s="427">
        <v>1</v>
      </c>
      <c r="CW200" s="17">
        <v>0</v>
      </c>
      <c r="CX200" s="320">
        <f t="shared" si="202"/>
        <v>0</v>
      </c>
      <c r="CY200" s="320">
        <f t="shared" si="231"/>
        <v>0</v>
      </c>
      <c r="CZ200" s="320">
        <f t="shared" si="232"/>
        <v>0</v>
      </c>
      <c r="DA200" s="17">
        <v>0</v>
      </c>
      <c r="DB200" s="17">
        <v>1</v>
      </c>
      <c r="DC200" s="17">
        <v>1</v>
      </c>
      <c r="DD200" s="31"/>
      <c r="DE200" s="323" t="s">
        <v>387</v>
      </c>
      <c r="DF200" s="323"/>
      <c r="DG200" s="323"/>
      <c r="DH200" s="323" t="s">
        <v>387</v>
      </c>
      <c r="DI200" s="323"/>
      <c r="DJ200" s="323"/>
      <c r="DK200" s="323"/>
      <c r="DL200" s="323"/>
      <c r="DM200" s="323"/>
      <c r="DN200" s="323"/>
      <c r="DO200" s="323"/>
      <c r="DP200" s="324"/>
      <c r="DQ200" s="288"/>
      <c r="DR200" s="240">
        <f>SUM(DS200:DX200)/6</f>
        <v>0.30891706924315621</v>
      </c>
      <c r="DS200" s="429">
        <f t="shared" si="233"/>
        <v>0.21739130434782608</v>
      </c>
      <c r="DT200" s="429">
        <f>SUM(BA200:BE200,BG200)/5</f>
        <v>0.4</v>
      </c>
      <c r="DU200" s="429">
        <f>SUM(BI200,BO200,BS200,BU200:BW200)/6</f>
        <v>0.16666666666666666</v>
      </c>
      <c r="DV200" s="429">
        <f>SUM(BY200-CB200,CD200-CG200)/8</f>
        <v>0.125</v>
      </c>
      <c r="DW200" s="429">
        <f>SUM(CH200:CJ200,CL200:CO200,BN200,BR200)/9</f>
        <v>0.44444444444444442</v>
      </c>
      <c r="DX200" s="429">
        <f>SUM(CP200,CR200:CV200)/6</f>
        <v>0.5</v>
      </c>
      <c r="DY200" s="444"/>
      <c r="DZ200" s="137" t="s">
        <v>724</v>
      </c>
      <c r="EA200" s="135"/>
      <c r="EB200" s="137" t="s">
        <v>744</v>
      </c>
      <c r="EC200" s="137" t="s">
        <v>749</v>
      </c>
      <c r="ED200" s="124">
        <v>2</v>
      </c>
      <c r="EH200" s="46"/>
      <c r="EI200" s="56"/>
      <c r="EJ200" s="33" t="e">
        <f t="shared" si="234"/>
        <v>#VALUE!</v>
      </c>
      <c r="EK200" s="57"/>
      <c r="EL200" s="57"/>
      <c r="EM200" s="57"/>
      <c r="EN200" s="75"/>
      <c r="EO200" s="75"/>
      <c r="EP200" s="75"/>
      <c r="EQ200" s="54"/>
      <c r="ER200" s="67"/>
      <c r="ES200" s="54"/>
      <c r="ET200" s="442"/>
      <c r="EU200" s="32"/>
      <c r="EV200" s="32"/>
      <c r="EZ200" s="393" t="s">
        <v>214</v>
      </c>
      <c r="FA200" s="393" t="s">
        <v>214</v>
      </c>
      <c r="FB200" s="389">
        <v>9363</v>
      </c>
      <c r="FC200" s="389">
        <v>11727</v>
      </c>
      <c r="FD200" s="389">
        <v>13077</v>
      </c>
      <c r="FE200" s="389">
        <v>14128</v>
      </c>
      <c r="FF200" s="389">
        <v>14773</v>
      </c>
      <c r="FG200" s="390">
        <v>2.3023791250959325E-2</v>
      </c>
      <c r="FH200" s="390">
        <v>1.6074023093981801E-2</v>
      </c>
      <c r="FI200" s="390">
        <v>9.1308040770101927E-3</v>
      </c>
      <c r="FJ200" s="391" t="s">
        <v>1389</v>
      </c>
      <c r="FK200" s="391">
        <v>-0.43195278346782928</v>
      </c>
      <c r="FL200" s="31" t="s">
        <v>1394</v>
      </c>
      <c r="FN200" s="128" t="s">
        <v>1769</v>
      </c>
      <c r="FO200" s="128" t="s">
        <v>1770</v>
      </c>
      <c r="FP200" s="128"/>
    </row>
    <row r="201" spans="1:177" ht="22" customHeight="1" x14ac:dyDescent="0.2">
      <c r="A201" s="13" t="s">
        <v>4</v>
      </c>
      <c r="B201" s="14" t="s">
        <v>21</v>
      </c>
      <c r="C201" s="14"/>
      <c r="D201" s="14"/>
      <c r="E201" s="128" t="s">
        <v>1354</v>
      </c>
      <c r="F201" s="15" t="s">
        <v>1359</v>
      </c>
      <c r="G201" s="15" t="s">
        <v>634</v>
      </c>
      <c r="H201" s="91">
        <f t="shared" si="210"/>
        <v>1</v>
      </c>
      <c r="I201" s="95">
        <f t="shared" si="203"/>
        <v>0</v>
      </c>
      <c r="J201" s="91"/>
      <c r="K201" s="256">
        <f t="shared" si="212"/>
        <v>1</v>
      </c>
      <c r="L201" s="101">
        <v>0</v>
      </c>
      <c r="M201" s="99"/>
      <c r="N201" s="89"/>
      <c r="O201" s="98" t="str">
        <f t="shared" si="211"/>
        <v>N/A or not found_x000D__x000D_</v>
      </c>
      <c r="P201" s="98"/>
      <c r="Q201" s="360" t="s">
        <v>925</v>
      </c>
      <c r="R201" s="64" t="s">
        <v>918</v>
      </c>
      <c r="S201" s="218"/>
      <c r="T201" s="300" t="s">
        <v>925</v>
      </c>
      <c r="U201" s="300" t="s">
        <v>925</v>
      </c>
      <c r="V201" s="309" t="s">
        <v>925</v>
      </c>
      <c r="W201" s="258"/>
      <c r="X201" s="307" t="s">
        <v>834</v>
      </c>
      <c r="Y201" s="274"/>
      <c r="Z201" s="426">
        <v>0</v>
      </c>
      <c r="AA201" s="320">
        <f t="shared" si="182"/>
        <v>0</v>
      </c>
      <c r="AB201" s="320">
        <f t="shared" si="183"/>
        <v>0</v>
      </c>
      <c r="AC201" s="320">
        <f t="shared" si="184"/>
        <v>0</v>
      </c>
      <c r="AD201" s="320">
        <f t="shared" si="185"/>
        <v>0</v>
      </c>
      <c r="AE201" s="320">
        <f t="shared" si="186"/>
        <v>0</v>
      </c>
      <c r="AF201" s="320">
        <f t="shared" si="187"/>
        <v>0</v>
      </c>
      <c r="AG201" s="320">
        <f t="shared" si="188"/>
        <v>0</v>
      </c>
      <c r="AH201" s="427">
        <v>0</v>
      </c>
      <c r="AI201" s="320">
        <f t="shared" si="189"/>
        <v>0</v>
      </c>
      <c r="AJ201" s="320">
        <f t="shared" si="190"/>
        <v>0</v>
      </c>
      <c r="AK201" s="320">
        <f t="shared" si="191"/>
        <v>0</v>
      </c>
      <c r="AL201" s="320">
        <f t="shared" si="192"/>
        <v>0</v>
      </c>
      <c r="AM201" s="320">
        <f t="shared" si="193"/>
        <v>0</v>
      </c>
      <c r="AN201" s="320">
        <f t="shared" si="194"/>
        <v>0</v>
      </c>
      <c r="AO201" s="427">
        <v>0</v>
      </c>
      <c r="AP201" s="320">
        <f t="shared" si="235"/>
        <v>0</v>
      </c>
      <c r="AQ201" s="320">
        <f t="shared" si="213"/>
        <v>0</v>
      </c>
      <c r="AR201" s="320">
        <f t="shared" si="214"/>
        <v>0</v>
      </c>
      <c r="AS201" s="320">
        <f t="shared" si="215"/>
        <v>0</v>
      </c>
      <c r="AT201" s="320">
        <f t="shared" si="216"/>
        <v>0</v>
      </c>
      <c r="AU201" s="320">
        <f t="shared" si="217"/>
        <v>0</v>
      </c>
      <c r="AV201" s="427">
        <v>0</v>
      </c>
      <c r="AW201" s="320">
        <f t="shared" si="218"/>
        <v>0</v>
      </c>
      <c r="AX201" s="320">
        <f t="shared" si="219"/>
        <v>0</v>
      </c>
      <c r="AY201" s="320">
        <f t="shared" si="220"/>
        <v>0</v>
      </c>
      <c r="AZ201" s="320">
        <f t="shared" si="221"/>
        <v>0</v>
      </c>
      <c r="BA201" s="17">
        <v>0</v>
      </c>
      <c r="BB201" s="17" t="s">
        <v>1821</v>
      </c>
      <c r="BC201" s="17">
        <v>0</v>
      </c>
      <c r="BD201" s="17">
        <v>0</v>
      </c>
      <c r="BE201" s="17">
        <v>0</v>
      </c>
      <c r="BF201" s="17">
        <v>0</v>
      </c>
      <c r="BG201" s="428">
        <f t="shared" si="195"/>
        <v>0</v>
      </c>
      <c r="BH201" s="17">
        <v>0</v>
      </c>
      <c r="BI201" s="17">
        <v>0</v>
      </c>
      <c r="BJ201" s="17" t="s">
        <v>1820</v>
      </c>
      <c r="BK201" s="17">
        <v>0</v>
      </c>
      <c r="BL201" s="17">
        <v>0</v>
      </c>
      <c r="BM201" s="17">
        <v>0</v>
      </c>
      <c r="BN201" s="320">
        <f t="shared" si="196"/>
        <v>0</v>
      </c>
      <c r="BO201" s="320">
        <f t="shared" si="197"/>
        <v>0</v>
      </c>
      <c r="BP201" s="427">
        <v>0</v>
      </c>
      <c r="BQ201" s="427">
        <v>0</v>
      </c>
      <c r="BR201" s="320">
        <f t="shared" si="207"/>
        <v>0</v>
      </c>
      <c r="BS201" s="320">
        <f>IF(ISNUMBER(SEARCH("1",$BP201)),1,0)</f>
        <v>0</v>
      </c>
      <c r="BT201" s="427">
        <v>0</v>
      </c>
      <c r="BU201" s="320">
        <f t="shared" si="198"/>
        <v>0</v>
      </c>
      <c r="BV201" s="320">
        <f t="shared" si="222"/>
        <v>0</v>
      </c>
      <c r="BW201" s="320">
        <f t="shared" si="236"/>
        <v>0</v>
      </c>
      <c r="BX201" s="427">
        <v>0</v>
      </c>
      <c r="BY201" s="320">
        <f t="shared" si="208"/>
        <v>0</v>
      </c>
      <c r="BZ201" s="320">
        <f t="shared" si="223"/>
        <v>0</v>
      </c>
      <c r="CA201" s="320">
        <f t="shared" si="206"/>
        <v>0</v>
      </c>
      <c r="CB201" s="320">
        <f t="shared" si="209"/>
        <v>0</v>
      </c>
      <c r="CC201" s="427">
        <v>0</v>
      </c>
      <c r="CD201" s="320">
        <f t="shared" si="224"/>
        <v>0</v>
      </c>
      <c r="CE201" s="320">
        <f t="shared" si="225"/>
        <v>0</v>
      </c>
      <c r="CF201" s="320">
        <f t="shared" si="226"/>
        <v>0</v>
      </c>
      <c r="CG201" s="320">
        <f t="shared" si="227"/>
        <v>0</v>
      </c>
      <c r="CH201" s="427">
        <v>0</v>
      </c>
      <c r="CI201" s="427">
        <v>0</v>
      </c>
      <c r="CJ201" s="427">
        <v>0</v>
      </c>
      <c r="CK201" s="427">
        <v>0</v>
      </c>
      <c r="CL201" s="320">
        <f t="shared" si="238"/>
        <v>0</v>
      </c>
      <c r="CM201" s="320">
        <f t="shared" si="228"/>
        <v>0</v>
      </c>
      <c r="CN201" s="320">
        <f t="shared" si="229"/>
        <v>0</v>
      </c>
      <c r="CO201" s="320">
        <f t="shared" si="204"/>
        <v>0</v>
      </c>
      <c r="CP201" s="427">
        <v>0</v>
      </c>
      <c r="CQ201" s="427">
        <v>0</v>
      </c>
      <c r="CR201" s="320">
        <f t="shared" si="230"/>
        <v>0</v>
      </c>
      <c r="CS201" s="320">
        <f t="shared" si="237"/>
        <v>0</v>
      </c>
      <c r="CT201" s="320">
        <f t="shared" si="200"/>
        <v>0</v>
      </c>
      <c r="CU201" s="320">
        <f t="shared" si="201"/>
        <v>0</v>
      </c>
      <c r="CV201" s="427">
        <v>1</v>
      </c>
      <c r="CW201" s="17">
        <v>1.4</v>
      </c>
      <c r="CX201" s="320">
        <f t="shared" si="202"/>
        <v>1</v>
      </c>
      <c r="CY201" s="320">
        <f t="shared" si="231"/>
        <v>0</v>
      </c>
      <c r="CZ201" s="320">
        <f t="shared" si="232"/>
        <v>0</v>
      </c>
      <c r="DA201" s="17">
        <v>1</v>
      </c>
      <c r="DB201" s="17">
        <v>1</v>
      </c>
      <c r="DC201" s="17">
        <v>0</v>
      </c>
      <c r="DD201" s="31"/>
      <c r="DE201" s="321" t="s">
        <v>392</v>
      </c>
      <c r="DF201" s="321" t="s">
        <v>1340</v>
      </c>
      <c r="DG201" s="321" t="s">
        <v>1341</v>
      </c>
      <c r="DH201" s="321" t="s">
        <v>387</v>
      </c>
      <c r="DI201" s="321" t="s">
        <v>388</v>
      </c>
      <c r="DJ201" s="321" t="s">
        <v>388</v>
      </c>
      <c r="DK201" s="321" t="s">
        <v>388</v>
      </c>
      <c r="DL201" s="321" t="s">
        <v>388</v>
      </c>
      <c r="DM201" s="321" t="s">
        <v>1342</v>
      </c>
      <c r="DN201" s="321" t="s">
        <v>388</v>
      </c>
      <c r="DO201" s="321" t="s">
        <v>388</v>
      </c>
      <c r="DP201" s="322"/>
      <c r="DQ201" s="345" t="s">
        <v>392</v>
      </c>
      <c r="DR201" s="241"/>
      <c r="DS201" s="429">
        <f t="shared" si="233"/>
        <v>0</v>
      </c>
      <c r="DT201" s="438"/>
      <c r="DU201" s="59"/>
      <c r="DV201" s="59"/>
      <c r="DW201" s="59"/>
      <c r="DX201" s="59"/>
      <c r="DY201" s="59"/>
      <c r="DZ201" s="134"/>
      <c r="EA201" s="134"/>
      <c r="EB201" s="134"/>
      <c r="EC201" s="134"/>
      <c r="ED201" s="123"/>
      <c r="EH201" s="44"/>
      <c r="EI201" s="56"/>
      <c r="EJ201" s="33" t="b">
        <f t="shared" si="234"/>
        <v>0</v>
      </c>
      <c r="EK201" s="57"/>
      <c r="EL201" s="57"/>
      <c r="EM201" s="57"/>
      <c r="EN201" s="75"/>
      <c r="EO201" s="75"/>
      <c r="EP201" s="75"/>
      <c r="EQ201" s="62"/>
      <c r="ER201" s="67"/>
      <c r="ES201" s="62"/>
      <c r="ET201" s="67"/>
      <c r="EU201" s="75"/>
      <c r="EV201" s="75"/>
      <c r="EZ201" s="393" t="s">
        <v>1354</v>
      </c>
      <c r="FA201" s="393" t="s">
        <v>1354</v>
      </c>
      <c r="FB201" s="389">
        <v>549</v>
      </c>
      <c r="FC201" s="389">
        <v>549</v>
      </c>
      <c r="FD201" s="389">
        <v>549</v>
      </c>
      <c r="FE201" s="389">
        <v>549</v>
      </c>
      <c r="FF201" s="389">
        <v>549</v>
      </c>
      <c r="FG201" s="390">
        <v>0</v>
      </c>
      <c r="FH201" s="390">
        <v>0</v>
      </c>
      <c r="FI201" s="390">
        <v>0</v>
      </c>
      <c r="FJ201" s="391">
        <v>0</v>
      </c>
      <c r="FK201" s="391" t="s">
        <v>1386</v>
      </c>
      <c r="FL201" s="31" t="s">
        <v>1387</v>
      </c>
      <c r="FN201" s="128" t="s">
        <v>1771</v>
      </c>
      <c r="FO201" s="128" t="s">
        <v>1772</v>
      </c>
      <c r="FP201" s="128" t="s">
        <v>1348</v>
      </c>
    </row>
    <row r="202" spans="1:177" ht="22" hidden="1" customHeight="1" x14ac:dyDescent="0.2">
      <c r="A202" s="13" t="s">
        <v>10</v>
      </c>
      <c r="B202" s="14" t="s">
        <v>51</v>
      </c>
      <c r="C202" s="9" t="s">
        <v>1060</v>
      </c>
      <c r="D202" s="14"/>
      <c r="E202" s="128" t="s">
        <v>215</v>
      </c>
      <c r="F202" s="15"/>
      <c r="G202" s="15" t="s">
        <v>635</v>
      </c>
      <c r="H202" s="91">
        <f t="shared" si="210"/>
        <v>0</v>
      </c>
      <c r="I202" s="95">
        <f t="shared" si="203"/>
        <v>0</v>
      </c>
      <c r="J202" s="91"/>
      <c r="K202" s="256">
        <f t="shared" si="212"/>
        <v>0</v>
      </c>
      <c r="L202" s="101">
        <v>0</v>
      </c>
      <c r="M202" s="99"/>
      <c r="N202" s="89"/>
      <c r="O202" s="98" t="str">
        <f t="shared" si="211"/>
        <v>_x000D__x000D_</v>
      </c>
      <c r="P202" s="98" t="str">
        <f>CONCATENATE(V202,R202,X202)</f>
        <v>_x000D__x000D_</v>
      </c>
      <c r="Q202" s="217"/>
      <c r="R202" s="64" t="s">
        <v>918</v>
      </c>
      <c r="S202" s="218"/>
      <c r="T202" s="300" t="s">
        <v>865</v>
      </c>
      <c r="U202" s="300" t="s">
        <v>834</v>
      </c>
      <c r="V202" s="300" t="s">
        <v>834</v>
      </c>
      <c r="W202" s="258"/>
      <c r="X202" s="307" t="s">
        <v>834</v>
      </c>
      <c r="Y202" s="274"/>
      <c r="Z202" s="426"/>
      <c r="AA202" s="320">
        <f t="shared" si="182"/>
        <v>0</v>
      </c>
      <c r="AB202" s="320">
        <f t="shared" si="183"/>
        <v>0</v>
      </c>
      <c r="AC202" s="320">
        <f t="shared" si="184"/>
        <v>0</v>
      </c>
      <c r="AD202" s="320">
        <f t="shared" si="185"/>
        <v>0</v>
      </c>
      <c r="AE202" s="320">
        <f t="shared" si="186"/>
        <v>0</v>
      </c>
      <c r="AF202" s="320">
        <f t="shared" si="187"/>
        <v>0</v>
      </c>
      <c r="AG202" s="320">
        <f t="shared" si="188"/>
        <v>0</v>
      </c>
      <c r="AH202" s="427"/>
      <c r="AI202" s="320">
        <f t="shared" si="189"/>
        <v>0</v>
      </c>
      <c r="AJ202" s="320">
        <f t="shared" si="190"/>
        <v>0</v>
      </c>
      <c r="AK202" s="320">
        <f t="shared" si="191"/>
        <v>0</v>
      </c>
      <c r="AL202" s="320">
        <f t="shared" si="192"/>
        <v>0</v>
      </c>
      <c r="AM202" s="320">
        <f t="shared" si="193"/>
        <v>0</v>
      </c>
      <c r="AN202" s="320">
        <f t="shared" si="194"/>
        <v>0</v>
      </c>
      <c r="AO202" s="427"/>
      <c r="AP202" s="320">
        <f t="shared" si="235"/>
        <v>0</v>
      </c>
      <c r="AQ202" s="320">
        <f t="shared" si="213"/>
        <v>0</v>
      </c>
      <c r="AR202" s="320">
        <f t="shared" si="214"/>
        <v>0</v>
      </c>
      <c r="AS202" s="320">
        <f t="shared" si="215"/>
        <v>0</v>
      </c>
      <c r="AT202" s="320">
        <f t="shared" si="216"/>
        <v>0</v>
      </c>
      <c r="AU202" s="320">
        <f t="shared" si="217"/>
        <v>0</v>
      </c>
      <c r="AV202" s="427"/>
      <c r="AW202" s="320">
        <f t="shared" si="218"/>
        <v>0</v>
      </c>
      <c r="AX202" s="320">
        <f t="shared" si="219"/>
        <v>0</v>
      </c>
      <c r="AY202" s="320">
        <f t="shared" si="220"/>
        <v>0</v>
      </c>
      <c r="AZ202" s="320">
        <f t="shared" si="221"/>
        <v>0</v>
      </c>
      <c r="BA202" s="17">
        <v>1</v>
      </c>
      <c r="BB202" s="17" t="s">
        <v>865</v>
      </c>
      <c r="BC202" s="17"/>
      <c r="BD202" s="17"/>
      <c r="BE202" s="17"/>
      <c r="BF202" s="17"/>
      <c r="BG202" s="428">
        <f t="shared" si="195"/>
        <v>0</v>
      </c>
      <c r="BH202" s="17"/>
      <c r="BI202" s="17"/>
      <c r="BJ202" s="17"/>
      <c r="BK202" s="17"/>
      <c r="BL202" s="17"/>
      <c r="BM202" s="17"/>
      <c r="BN202" s="320">
        <f t="shared" si="196"/>
        <v>0</v>
      </c>
      <c r="BO202" s="320">
        <f t="shared" si="197"/>
        <v>0</v>
      </c>
      <c r="BP202" s="427"/>
      <c r="BQ202" s="427"/>
      <c r="BR202" s="320">
        <f t="shared" si="207"/>
        <v>0</v>
      </c>
      <c r="BS202" s="320">
        <f>IF(ISNUMBER(SEARCH("1",$BP202)),1,0)</f>
        <v>0</v>
      </c>
      <c r="BT202" s="427"/>
      <c r="BU202" s="320">
        <f t="shared" si="198"/>
        <v>0</v>
      </c>
      <c r="BV202" s="320">
        <f t="shared" si="222"/>
        <v>0</v>
      </c>
      <c r="BW202" s="320">
        <f t="shared" si="236"/>
        <v>0</v>
      </c>
      <c r="BX202" s="427"/>
      <c r="BY202" s="320">
        <f t="shared" si="208"/>
        <v>0</v>
      </c>
      <c r="BZ202" s="320">
        <f t="shared" si="223"/>
        <v>0</v>
      </c>
      <c r="CA202" s="320">
        <f t="shared" si="206"/>
        <v>0</v>
      </c>
      <c r="CB202" s="320">
        <f t="shared" si="209"/>
        <v>0</v>
      </c>
      <c r="CC202" s="427"/>
      <c r="CD202" s="320">
        <f t="shared" si="224"/>
        <v>0</v>
      </c>
      <c r="CE202" s="320">
        <f t="shared" si="225"/>
        <v>0</v>
      </c>
      <c r="CF202" s="320">
        <f t="shared" si="226"/>
        <v>0</v>
      </c>
      <c r="CG202" s="320">
        <f t="shared" si="227"/>
        <v>0</v>
      </c>
      <c r="CH202" s="427"/>
      <c r="CI202" s="427"/>
      <c r="CJ202" s="427"/>
      <c r="CK202" s="427"/>
      <c r="CL202" s="320">
        <f t="shared" si="238"/>
        <v>0</v>
      </c>
      <c r="CM202" s="320">
        <f t="shared" si="228"/>
        <v>0</v>
      </c>
      <c r="CN202" s="320">
        <f t="shared" si="229"/>
        <v>0</v>
      </c>
      <c r="CO202" s="320">
        <f t="shared" si="204"/>
        <v>0</v>
      </c>
      <c r="CP202" s="427"/>
      <c r="CQ202" s="427"/>
      <c r="CR202" s="320">
        <f t="shared" si="230"/>
        <v>0</v>
      </c>
      <c r="CS202" s="320">
        <f t="shared" si="237"/>
        <v>0</v>
      </c>
      <c r="CT202" s="320">
        <f t="shared" si="200"/>
        <v>0</v>
      </c>
      <c r="CU202" s="320">
        <f t="shared" si="201"/>
        <v>0</v>
      </c>
      <c r="CV202" s="427"/>
      <c r="CW202" s="17"/>
      <c r="CX202" s="320">
        <f t="shared" si="202"/>
        <v>0</v>
      </c>
      <c r="CY202" s="320">
        <f t="shared" si="231"/>
        <v>0</v>
      </c>
      <c r="CZ202" s="320">
        <f t="shared" si="232"/>
        <v>0</v>
      </c>
      <c r="DA202" s="17"/>
      <c r="DB202" s="17"/>
      <c r="DC202" s="17"/>
      <c r="DD202" s="31"/>
      <c r="DE202" s="323"/>
      <c r="DF202" s="323"/>
      <c r="DG202" s="323"/>
      <c r="DH202" s="323"/>
      <c r="DI202" s="323"/>
      <c r="DJ202" s="323"/>
      <c r="DK202" s="323"/>
      <c r="DL202" s="323" t="s">
        <v>503</v>
      </c>
      <c r="DM202" s="323"/>
      <c r="DN202" s="323"/>
      <c r="DO202" s="323"/>
      <c r="DP202" s="324"/>
      <c r="DQ202" s="288"/>
      <c r="DR202" s="242"/>
      <c r="DS202" s="429">
        <f t="shared" si="233"/>
        <v>0</v>
      </c>
      <c r="DT202" s="438"/>
      <c r="DU202" s="59"/>
      <c r="DV202" s="59"/>
      <c r="DW202" s="59"/>
      <c r="DX202" s="59"/>
      <c r="DY202" s="59"/>
      <c r="DZ202" s="134"/>
      <c r="EA202" s="134"/>
      <c r="EB202" s="134"/>
      <c r="EC202" s="134"/>
      <c r="ED202" s="123"/>
      <c r="EH202" s="46">
        <v>0</v>
      </c>
      <c r="EI202" s="56"/>
      <c r="EJ202" s="33" t="b">
        <f t="shared" si="234"/>
        <v>0</v>
      </c>
      <c r="EK202" s="57"/>
      <c r="EL202" s="57"/>
      <c r="EM202" s="57"/>
      <c r="EN202" s="75"/>
      <c r="EO202" s="75"/>
      <c r="EP202" s="75"/>
      <c r="EQ202" s="54"/>
      <c r="ER202" s="43">
        <v>1</v>
      </c>
      <c r="ES202" s="54"/>
      <c r="ET202" s="67"/>
      <c r="EU202" s="75"/>
      <c r="EV202" s="75"/>
      <c r="EZ202" s="393" t="s">
        <v>215</v>
      </c>
      <c r="FA202" s="393" t="s">
        <v>215</v>
      </c>
      <c r="FB202" s="389">
        <v>52800</v>
      </c>
      <c r="FC202" s="389">
        <v>51134</v>
      </c>
      <c r="FD202" s="389">
        <v>50301</v>
      </c>
      <c r="FE202" s="389">
        <v>49468</v>
      </c>
      <c r="FF202" s="389">
        <v>48635</v>
      </c>
      <c r="FG202" s="390">
        <v>-3.2581061524621585E-3</v>
      </c>
      <c r="FH202" s="390">
        <v>-3.3120613904296138E-3</v>
      </c>
      <c r="FI202" s="390">
        <v>-3.3678337511118296E-3</v>
      </c>
      <c r="FJ202" s="391">
        <v>1.6839168755559047E-2</v>
      </c>
      <c r="FK202" s="391" t="s">
        <v>1386</v>
      </c>
      <c r="FL202" s="31" t="s">
        <v>1379</v>
      </c>
      <c r="FN202" s="128" t="s">
        <v>1773</v>
      </c>
      <c r="FO202" s="128" t="s">
        <v>1774</v>
      </c>
      <c r="FP202" s="128"/>
    </row>
    <row r="203" spans="1:177" ht="22" hidden="1" customHeight="1" x14ac:dyDescent="0.2">
      <c r="A203" s="12" t="s">
        <v>10</v>
      </c>
      <c r="B203" s="14" t="s">
        <v>51</v>
      </c>
      <c r="C203" s="14"/>
      <c r="D203" s="14"/>
      <c r="E203" s="128" t="s">
        <v>216</v>
      </c>
      <c r="F203" s="15"/>
      <c r="G203" s="15" t="s">
        <v>634</v>
      </c>
      <c r="H203" s="91">
        <f t="shared" si="210"/>
        <v>1</v>
      </c>
      <c r="I203" s="95">
        <f t="shared" si="203"/>
        <v>0</v>
      </c>
      <c r="J203" s="95"/>
      <c r="K203" s="256">
        <f t="shared" si="212"/>
        <v>1</v>
      </c>
      <c r="L203" s="278">
        <v>0</v>
      </c>
      <c r="M203" s="25"/>
      <c r="N203" s="89"/>
      <c r="O203" s="98" t="str">
        <f t="shared" si="211"/>
        <v>_x000D__x000D_</v>
      </c>
      <c r="P203" s="98"/>
      <c r="Q203" s="217"/>
      <c r="R203" s="64" t="s">
        <v>918</v>
      </c>
      <c r="S203" s="218"/>
      <c r="T203" s="300" t="s">
        <v>866</v>
      </c>
      <c r="U203" s="300" t="s">
        <v>257</v>
      </c>
      <c r="V203" s="300" t="s">
        <v>834</v>
      </c>
      <c r="W203" s="258"/>
      <c r="X203" s="307" t="s">
        <v>834</v>
      </c>
      <c r="Y203" s="274"/>
      <c r="Z203" s="426"/>
      <c r="AA203" s="320">
        <f t="shared" si="182"/>
        <v>0</v>
      </c>
      <c r="AB203" s="320">
        <f t="shared" si="183"/>
        <v>0</v>
      </c>
      <c r="AC203" s="320">
        <f t="shared" si="184"/>
        <v>0</v>
      </c>
      <c r="AD203" s="320">
        <f t="shared" si="185"/>
        <v>0</v>
      </c>
      <c r="AE203" s="320">
        <f t="shared" si="186"/>
        <v>0</v>
      </c>
      <c r="AF203" s="320">
        <f t="shared" si="187"/>
        <v>0</v>
      </c>
      <c r="AG203" s="320">
        <f t="shared" si="188"/>
        <v>0</v>
      </c>
      <c r="AH203" s="427"/>
      <c r="AI203" s="320">
        <f t="shared" si="189"/>
        <v>0</v>
      </c>
      <c r="AJ203" s="320">
        <f t="shared" si="190"/>
        <v>0</v>
      </c>
      <c r="AK203" s="320">
        <f t="shared" si="191"/>
        <v>0</v>
      </c>
      <c r="AL203" s="320">
        <f t="shared" si="192"/>
        <v>0</v>
      </c>
      <c r="AM203" s="320">
        <f t="shared" si="193"/>
        <v>0</v>
      </c>
      <c r="AN203" s="320">
        <f t="shared" si="194"/>
        <v>0</v>
      </c>
      <c r="AO203" s="427"/>
      <c r="AP203" s="320">
        <f t="shared" si="235"/>
        <v>0</v>
      </c>
      <c r="AQ203" s="320">
        <f t="shared" si="213"/>
        <v>0</v>
      </c>
      <c r="AR203" s="320">
        <f t="shared" si="214"/>
        <v>0</v>
      </c>
      <c r="AS203" s="320">
        <f t="shared" si="215"/>
        <v>0</v>
      </c>
      <c r="AT203" s="320">
        <f t="shared" si="216"/>
        <v>0</v>
      </c>
      <c r="AU203" s="320">
        <f t="shared" si="217"/>
        <v>0</v>
      </c>
      <c r="AV203" s="427"/>
      <c r="AW203" s="320">
        <f t="shared" si="218"/>
        <v>0</v>
      </c>
      <c r="AX203" s="320">
        <f t="shared" si="219"/>
        <v>0</v>
      </c>
      <c r="AY203" s="320">
        <f t="shared" si="220"/>
        <v>0</v>
      </c>
      <c r="AZ203" s="320">
        <f t="shared" si="221"/>
        <v>0</v>
      </c>
      <c r="BA203" s="17"/>
      <c r="BB203" s="17" t="s">
        <v>866</v>
      </c>
      <c r="BC203" s="17"/>
      <c r="BD203" s="17"/>
      <c r="BE203" s="17"/>
      <c r="BF203" s="17"/>
      <c r="BG203" s="428">
        <f t="shared" si="195"/>
        <v>0</v>
      </c>
      <c r="BH203" s="17"/>
      <c r="BI203" s="17" t="s">
        <v>257</v>
      </c>
      <c r="BJ203" s="17"/>
      <c r="BK203" s="17"/>
      <c r="BL203" s="17"/>
      <c r="BM203" s="17"/>
      <c r="BN203" s="320">
        <f t="shared" si="196"/>
        <v>0</v>
      </c>
      <c r="BO203" s="320">
        <f t="shared" si="197"/>
        <v>0</v>
      </c>
      <c r="BP203" s="427"/>
      <c r="BQ203" s="427"/>
      <c r="BR203" s="320">
        <f t="shared" si="207"/>
        <v>0</v>
      </c>
      <c r="BS203" s="320">
        <f>IF(ISNUMBER(SEARCH("1",$BP203)),1,0)</f>
        <v>0</v>
      </c>
      <c r="BT203" s="427"/>
      <c r="BU203" s="320">
        <f t="shared" si="198"/>
        <v>0</v>
      </c>
      <c r="BV203" s="320">
        <f t="shared" si="222"/>
        <v>0</v>
      </c>
      <c r="BW203" s="320">
        <f t="shared" si="236"/>
        <v>0</v>
      </c>
      <c r="BX203" s="427"/>
      <c r="BY203" s="320">
        <f t="shared" si="208"/>
        <v>0</v>
      </c>
      <c r="BZ203" s="320">
        <f t="shared" si="223"/>
        <v>0</v>
      </c>
      <c r="CA203" s="320">
        <f t="shared" si="206"/>
        <v>0</v>
      </c>
      <c r="CB203" s="320">
        <f t="shared" si="209"/>
        <v>0</v>
      </c>
      <c r="CC203" s="427"/>
      <c r="CD203" s="320">
        <f t="shared" si="224"/>
        <v>0</v>
      </c>
      <c r="CE203" s="320">
        <f t="shared" si="225"/>
        <v>0</v>
      </c>
      <c r="CF203" s="320">
        <f t="shared" si="226"/>
        <v>0</v>
      </c>
      <c r="CG203" s="320">
        <f t="shared" si="227"/>
        <v>0</v>
      </c>
      <c r="CH203" s="427"/>
      <c r="CI203" s="427"/>
      <c r="CJ203" s="427"/>
      <c r="CK203" s="427"/>
      <c r="CL203" s="320">
        <f t="shared" si="238"/>
        <v>0</v>
      </c>
      <c r="CM203" s="320">
        <f t="shared" si="228"/>
        <v>0</v>
      </c>
      <c r="CN203" s="320">
        <f t="shared" si="229"/>
        <v>0</v>
      </c>
      <c r="CO203" s="320">
        <f t="shared" si="204"/>
        <v>0</v>
      </c>
      <c r="CP203" s="427"/>
      <c r="CQ203" s="427"/>
      <c r="CR203" s="320">
        <f t="shared" si="230"/>
        <v>0</v>
      </c>
      <c r="CS203" s="320">
        <f t="shared" si="237"/>
        <v>0</v>
      </c>
      <c r="CT203" s="320">
        <f t="shared" si="200"/>
        <v>0</v>
      </c>
      <c r="CU203" s="320">
        <f t="shared" si="201"/>
        <v>0</v>
      </c>
      <c r="CV203" s="427"/>
      <c r="CW203" s="17"/>
      <c r="CX203" s="320">
        <f t="shared" si="202"/>
        <v>0</v>
      </c>
      <c r="CY203" s="320">
        <f t="shared" si="231"/>
        <v>0</v>
      </c>
      <c r="CZ203" s="320">
        <f t="shared" si="232"/>
        <v>0</v>
      </c>
      <c r="DA203" s="17"/>
      <c r="DB203" s="17"/>
      <c r="DC203" s="17"/>
      <c r="DD203" s="31"/>
      <c r="DE203" s="321"/>
      <c r="DF203" s="321"/>
      <c r="DG203" s="321"/>
      <c r="DH203" s="321"/>
      <c r="DI203" s="321"/>
      <c r="DJ203" s="321"/>
      <c r="DK203" s="321"/>
      <c r="DL203" s="321"/>
      <c r="DM203" s="321"/>
      <c r="DN203" s="321"/>
      <c r="DO203" s="321"/>
      <c r="DP203" s="322"/>
      <c r="DQ203" s="288"/>
      <c r="DR203" s="239">
        <f>SUM(DS203:DX203)/6</f>
        <v>0</v>
      </c>
      <c r="DS203" s="429">
        <f t="shared" si="233"/>
        <v>0</v>
      </c>
      <c r="DT203" s="429">
        <f>SUM(BA203:BE203,BG203)/5</f>
        <v>0</v>
      </c>
      <c r="DU203" s="429">
        <f>SUM(BI203,BO203,BS203,BU203:BW203)/6</f>
        <v>0</v>
      </c>
      <c r="DV203" s="429">
        <f>SUM(BY203-CB203,CD203-CG203)/8</f>
        <v>0</v>
      </c>
      <c r="DW203" s="429">
        <f>SUM(CH203:CJ203,CL203:CO203,BN203,BR203)/9</f>
        <v>0</v>
      </c>
      <c r="DX203" s="429">
        <f>SUM(CP203,CR203:CV203)/6</f>
        <v>0</v>
      </c>
      <c r="DY203" s="133"/>
      <c r="DZ203" s="134"/>
      <c r="EA203" s="134"/>
      <c r="EB203" s="134"/>
      <c r="EC203" s="134"/>
      <c r="ED203" s="123"/>
      <c r="EH203" s="270">
        <v>0</v>
      </c>
      <c r="EI203" s="271"/>
      <c r="EJ203" s="269" t="b">
        <f t="shared" si="234"/>
        <v>0</v>
      </c>
      <c r="EK203" s="272"/>
      <c r="EL203" s="272"/>
      <c r="EM203" s="272"/>
      <c r="EN203" s="146"/>
      <c r="EO203" s="146"/>
      <c r="EP203" s="146"/>
      <c r="EQ203" s="63"/>
      <c r="ER203" s="43"/>
      <c r="ES203" s="63"/>
      <c r="ET203" s="43" t="s">
        <v>257</v>
      </c>
      <c r="EU203" s="146"/>
      <c r="EV203" s="146"/>
      <c r="EZ203" s="393" t="s">
        <v>216</v>
      </c>
      <c r="FA203" s="393" t="s">
        <v>216</v>
      </c>
      <c r="FB203" s="389">
        <v>22164</v>
      </c>
      <c r="FC203" s="389">
        <v>18894</v>
      </c>
      <c r="FD203" s="389">
        <v>17259</v>
      </c>
      <c r="FE203" s="389">
        <v>15624</v>
      </c>
      <c r="FF203" s="389">
        <v>14062</v>
      </c>
      <c r="FG203" s="390">
        <v>-1.7307081613210543E-2</v>
      </c>
      <c r="FH203" s="390">
        <v>-1.8946636537458716E-2</v>
      </c>
      <c r="FI203" s="390">
        <v>-1.9994879672299026E-2</v>
      </c>
      <c r="FJ203" s="391">
        <v>5.5326080318681678E-2</v>
      </c>
      <c r="FK203" s="391" t="s">
        <v>1386</v>
      </c>
      <c r="FL203" s="31" t="s">
        <v>1379</v>
      </c>
      <c r="FN203" s="128" t="s">
        <v>1775</v>
      </c>
      <c r="FO203" s="128" t="s">
        <v>1776</v>
      </c>
      <c r="FP203" s="128"/>
    </row>
    <row r="204" spans="1:177" ht="33" customHeight="1" x14ac:dyDescent="0.2">
      <c r="DD204" s="31"/>
      <c r="DY204" s="81"/>
    </row>
    <row r="205" spans="1:177" ht="33" customHeight="1" x14ac:dyDescent="0.2">
      <c r="BA205" s="2"/>
      <c r="BB205" s="2"/>
      <c r="DD205" s="31"/>
      <c r="FB205" s="396"/>
      <c r="FR205" s="31">
        <f>SUM(FR7:FR188)</f>
        <v>27</v>
      </c>
      <c r="FS205" s="31">
        <f>SUM(FS7:FS188)</f>
        <v>12</v>
      </c>
      <c r="FT205" s="31">
        <f>SUM(FT7:FT188)</f>
        <v>25</v>
      </c>
      <c r="FU205" s="31">
        <f>SUM(FU7:FU188)</f>
        <v>23</v>
      </c>
    </row>
    <row r="206" spans="1:177" ht="33" customHeight="1" x14ac:dyDescent="0.2">
      <c r="FB206" s="396"/>
    </row>
    <row r="207" spans="1:177" ht="33" customHeight="1" x14ac:dyDescent="0.2">
      <c r="DD207" s="31"/>
      <c r="FB207" s="396"/>
      <c r="FS207" s="436"/>
    </row>
    <row r="208" spans="1:177" ht="33" customHeight="1" x14ac:dyDescent="0.2">
      <c r="DD208" s="31"/>
      <c r="EN208" s="152"/>
      <c r="FB208" s="396"/>
    </row>
    <row r="209" spans="1:172" ht="15" customHeight="1" x14ac:dyDescent="0.2">
      <c r="E209" s="131">
        <f ca="1">SUMPRODUCT(SUBTOTAL(3,OFFSET($E$6:$E$202,ROW($E$6:$E$202)-MIN(ROW($E$6:$E$202)),,1)),ISNUMBER(SEARCH("*",$E$6:$E$202))+0)</f>
        <v>31</v>
      </c>
      <c r="F209" s="2"/>
      <c r="G209" s="2">
        <f ca="1">SUMPRODUCT(SUBTOTAL(3,OFFSET(G$6:G$202,ROW(G$6:G$202)-MIN(ROW(G$6:G$202)),,1)),ISNUMBER(SEARCH("1",G$6:G$202))+0)</f>
        <v>0</v>
      </c>
      <c r="H209" s="2">
        <f ca="1">E209-SUMPRODUCT(SUBTOTAL(3,OFFSET(H$6:H$202,ROW(H$6:H$202)-MIN(ROW(H$6:H$202)),,1)),ISNUMBER(SEARCH("1",H$6:H$202))+0)</f>
        <v>15</v>
      </c>
      <c r="I209" s="2"/>
      <c r="J209" s="2"/>
      <c r="K209" s="2"/>
      <c r="L209" s="104">
        <f ca="1">SUMPRODUCT(SUBTOTAL(3,OFFSET(L$6:L$202,ROW(L$6:L$202)-MIN(ROW(L$6:L$202)),,1)),ISNUMBER(SEARCH("1",L$6:L$202))+0)</f>
        <v>0</v>
      </c>
      <c r="M209" s="104"/>
      <c r="N209" s="108"/>
      <c r="O209" s="2"/>
      <c r="P209" s="2"/>
      <c r="T209" s="2"/>
      <c r="U209" s="2"/>
      <c r="V209" s="2"/>
      <c r="W209" s="2"/>
      <c r="X209" s="2"/>
      <c r="Y209" s="2"/>
      <c r="Z209" s="2">
        <f t="shared" ref="Z209:BA209" ca="1" si="239">SUMPRODUCT(SUBTOTAL(3,OFFSET(Z$6:Z$202,ROW(Z$6:Z$202)-MIN(ROW(Z$6:Z$202)),,1)),ISNUMBER(SEARCH("1",Z$6:Z$202))+0)</f>
        <v>25</v>
      </c>
      <c r="AA209" s="2">
        <f t="shared" ca="1" si="239"/>
        <v>23</v>
      </c>
      <c r="AB209" s="2">
        <f t="shared" ca="1" si="239"/>
        <v>2</v>
      </c>
      <c r="AC209" s="2">
        <f t="shared" ca="1" si="239"/>
        <v>10</v>
      </c>
      <c r="AD209" s="2">
        <f t="shared" ca="1" si="239"/>
        <v>3</v>
      </c>
      <c r="AE209" s="2">
        <f t="shared" ca="1" si="239"/>
        <v>13</v>
      </c>
      <c r="AF209" s="2">
        <f t="shared" ca="1" si="239"/>
        <v>2</v>
      </c>
      <c r="AG209" s="2">
        <f t="shared" ca="1" si="239"/>
        <v>7</v>
      </c>
      <c r="AH209" s="2">
        <f t="shared" ca="1" si="239"/>
        <v>7</v>
      </c>
      <c r="AI209" s="2">
        <f t="shared" ca="1" si="239"/>
        <v>7</v>
      </c>
      <c r="AJ209" s="2">
        <f t="shared" ca="1" si="239"/>
        <v>1</v>
      </c>
      <c r="AK209" s="2">
        <f t="shared" ca="1" si="239"/>
        <v>2</v>
      </c>
      <c r="AL209" s="2">
        <f t="shared" ca="1" si="239"/>
        <v>0</v>
      </c>
      <c r="AM209" s="2">
        <f t="shared" ca="1" si="239"/>
        <v>1</v>
      </c>
      <c r="AN209" s="2">
        <f t="shared" ca="1" si="239"/>
        <v>0</v>
      </c>
      <c r="AO209" s="2">
        <f t="shared" ca="1" si="239"/>
        <v>9</v>
      </c>
      <c r="AP209" s="2">
        <f t="shared" ca="1" si="239"/>
        <v>9</v>
      </c>
      <c r="AQ209" s="2">
        <f t="shared" ca="1" si="239"/>
        <v>0</v>
      </c>
      <c r="AR209" s="2">
        <f t="shared" ca="1" si="239"/>
        <v>1</v>
      </c>
      <c r="AS209" s="2">
        <f t="shared" ca="1" si="239"/>
        <v>0</v>
      </c>
      <c r="AT209" s="2">
        <f t="shared" ca="1" si="239"/>
        <v>2</v>
      </c>
      <c r="AU209" s="2">
        <f t="shared" ca="1" si="239"/>
        <v>1</v>
      </c>
      <c r="AV209" s="2">
        <f t="shared" ca="1" si="239"/>
        <v>6</v>
      </c>
      <c r="AW209" s="2">
        <f t="shared" ca="1" si="239"/>
        <v>6</v>
      </c>
      <c r="AX209" s="2">
        <f t="shared" ca="1" si="239"/>
        <v>2</v>
      </c>
      <c r="AY209" s="2">
        <f t="shared" ca="1" si="239"/>
        <v>3</v>
      </c>
      <c r="AZ209" s="2">
        <f t="shared" ca="1" si="239"/>
        <v>2</v>
      </c>
      <c r="BA209" s="2">
        <f t="shared" ca="1" si="239"/>
        <v>19</v>
      </c>
      <c r="BB209" s="2"/>
      <c r="BC209" s="2">
        <f ca="1">SUMPRODUCT(SUBTOTAL(3,OFFSET(BC$6:BC$202,ROW(BC$6:BC$202)-MIN(ROW(BC$6:BC$202)),,1)),ISNUMBER(SEARCH("1",BC$6:BC$202))+0)</f>
        <v>4</v>
      </c>
      <c r="BD209" s="2">
        <f ca="1">SUMPRODUCT(SUBTOTAL(3,OFFSET(BD$6:BD$202,ROW(BD$6:BD$202)-MIN(ROW(BD$6:BD$202)),,1)),ISNUMBER(SEARCH("1",BD$6:BD$202))+0)</f>
        <v>11</v>
      </c>
      <c r="BE209" s="2">
        <f ca="1">SUMPRODUCT(SUBTOTAL(3,OFFSET(BE$6:BE$202,ROW(BE$6:BE$202)-MIN(ROW(BE$6:BE$202)),,1)),ISNUMBER(SEARCH("1",BE$6:BE$202))+0)</f>
        <v>2</v>
      </c>
      <c r="BF209" s="2"/>
      <c r="BG209" s="2">
        <f ca="1">SUMPRODUCT(SUBTOTAL(3,OFFSET(BG$6:BG$202,ROW(BG$6:BG$202)-MIN(ROW(BG$6:BG$202)),,1)),ISNUMBER(SEARCH("1",BG$6:BG$202))+0)</f>
        <v>6</v>
      </c>
      <c r="BH209" s="2">
        <f ca="1">SUMPRODUCT(SUBTOTAL(3,OFFSET(BH$6:BH$202,ROW(BH$6:BH$202)-MIN(ROW(BH$6:BH$202)),,1)),ISNUMBER(SEARCH("1",BH$6:BH$202))+0)</f>
        <v>11</v>
      </c>
      <c r="BI209" s="2">
        <f ca="1">SUMPRODUCT(SUBTOTAL(3,OFFSET(BI$6:BI$202,ROW(BI$6:BI$202)-MIN(ROW(BI$6:BI$202)),,1)),ISNUMBER(SEARCH("1",BI$6:BI$202))+0)</f>
        <v>17</v>
      </c>
      <c r="BJ209" s="2"/>
      <c r="BK209" s="2"/>
      <c r="BL209" s="2">
        <f ca="1">SUMPRODUCT(SUBTOTAL(3,OFFSET(BL$6:BL$202,ROW(BL$6:BL$202)-MIN(ROW(BL$6:BL$202)),,1)),ISNUMBER(SEARCH("1",BL$6:BL$202))+0)</f>
        <v>7</v>
      </c>
      <c r="BM209" s="2"/>
      <c r="BN209" s="2">
        <f ca="1">SUMPRODUCT(SUBTOTAL(3,OFFSET(BN$6:BN$202,ROW(BN$6:BN$202)-MIN(ROW(BN$6:BN$202)),,1)),ISNUMBER(SEARCH("1",BN$6:BN$202))+0)</f>
        <v>7</v>
      </c>
      <c r="BO209" s="2">
        <f ca="1">SUMPRODUCT(SUBTOTAL(3,OFFSET(BO$6:BO$202,ROW(BO$6:BO$202)-MIN(ROW(BO$6:BO$202)),,1)),ISNUMBER(SEARCH("1",BO$6:BO$202))+0)</f>
        <v>0</v>
      </c>
      <c r="BP209" s="2">
        <f ca="1">SUMPRODUCT(SUBTOTAL(3,OFFSET(BP$6:BP$202,ROW(BP$6:BP$202)-MIN(ROW(BP$6:BP$202)),,1)),ISNUMBER(SEARCH("1",BP$6:BP$202))+0)</f>
        <v>2</v>
      </c>
      <c r="BR209" s="2">
        <f t="shared" ref="BR209:DC209" ca="1" si="240">SUMPRODUCT(SUBTOTAL(3,OFFSET(BR$6:BR$202,ROW(BR$6:BR$202)-MIN(ROW(BR$6:BR$202)),,1)),ISNUMBER(SEARCH("1",BR$6:BR$202))+0)</f>
        <v>2</v>
      </c>
      <c r="BS209" s="2">
        <f t="shared" ca="1" si="240"/>
        <v>2</v>
      </c>
      <c r="BT209" s="2">
        <f t="shared" ca="1" si="240"/>
        <v>7</v>
      </c>
      <c r="BU209" s="2">
        <f t="shared" ca="1" si="240"/>
        <v>7</v>
      </c>
      <c r="BV209" s="2">
        <f t="shared" ca="1" si="240"/>
        <v>1</v>
      </c>
      <c r="BW209" s="2">
        <f t="shared" ca="1" si="240"/>
        <v>1</v>
      </c>
      <c r="BX209" s="2">
        <f t="shared" ca="1" si="240"/>
        <v>24</v>
      </c>
      <c r="BY209" s="2">
        <f t="shared" ca="1" si="240"/>
        <v>23</v>
      </c>
      <c r="BZ209" s="2">
        <f t="shared" ca="1" si="240"/>
        <v>11</v>
      </c>
      <c r="CA209" s="2">
        <f t="shared" ca="1" si="240"/>
        <v>4</v>
      </c>
      <c r="CB209" s="2">
        <f t="shared" ca="1" si="240"/>
        <v>2</v>
      </c>
      <c r="CC209" s="2">
        <f t="shared" ca="1" si="240"/>
        <v>10</v>
      </c>
      <c r="CD209" s="2">
        <f t="shared" ca="1" si="240"/>
        <v>10</v>
      </c>
      <c r="CE209" s="2">
        <f t="shared" ca="1" si="240"/>
        <v>0</v>
      </c>
      <c r="CF209" s="2">
        <f t="shared" ca="1" si="240"/>
        <v>0</v>
      </c>
      <c r="CG209" s="2">
        <f t="shared" ca="1" si="240"/>
        <v>0</v>
      </c>
      <c r="CH209" s="2">
        <f t="shared" ca="1" si="240"/>
        <v>4</v>
      </c>
      <c r="CI209" s="2">
        <f t="shared" ca="1" si="240"/>
        <v>1</v>
      </c>
      <c r="CJ209" s="2">
        <f t="shared" ca="1" si="240"/>
        <v>0</v>
      </c>
      <c r="CK209" s="2">
        <f t="shared" ca="1" si="240"/>
        <v>7</v>
      </c>
      <c r="CL209" s="2">
        <f t="shared" ca="1" si="240"/>
        <v>7</v>
      </c>
      <c r="CM209" s="2">
        <f t="shared" ca="1" si="240"/>
        <v>1</v>
      </c>
      <c r="CN209" s="2">
        <f t="shared" ca="1" si="240"/>
        <v>2</v>
      </c>
      <c r="CO209" s="2">
        <f t="shared" ca="1" si="240"/>
        <v>0</v>
      </c>
      <c r="CP209" s="2">
        <f t="shared" ca="1" si="240"/>
        <v>12</v>
      </c>
      <c r="CQ209" s="2">
        <f t="shared" ca="1" si="240"/>
        <v>11</v>
      </c>
      <c r="CR209" s="2">
        <f t="shared" ca="1" si="240"/>
        <v>11</v>
      </c>
      <c r="CS209" s="2">
        <f t="shared" ca="1" si="240"/>
        <v>4</v>
      </c>
      <c r="CT209" s="2">
        <f t="shared" ca="1" si="240"/>
        <v>10</v>
      </c>
      <c r="CU209" s="2">
        <f t="shared" ca="1" si="240"/>
        <v>0</v>
      </c>
      <c r="CV209" s="2">
        <f t="shared" ca="1" si="240"/>
        <v>14</v>
      </c>
      <c r="CW209" s="2">
        <f t="shared" ca="1" si="240"/>
        <v>2</v>
      </c>
      <c r="CX209" s="2">
        <f t="shared" ca="1" si="240"/>
        <v>2</v>
      </c>
      <c r="CY209" s="2">
        <f t="shared" ca="1" si="240"/>
        <v>0</v>
      </c>
      <c r="CZ209" s="2">
        <f t="shared" ca="1" si="240"/>
        <v>1</v>
      </c>
      <c r="DA209" s="2">
        <f t="shared" ca="1" si="240"/>
        <v>13</v>
      </c>
      <c r="DB209" s="2">
        <f t="shared" ca="1" si="240"/>
        <v>10</v>
      </c>
      <c r="DC209" s="2">
        <f t="shared" ca="1" si="240"/>
        <v>2</v>
      </c>
      <c r="DD209" s="31"/>
      <c r="FB209" s="396"/>
      <c r="FN209" s="131"/>
      <c r="FO209" s="131"/>
      <c r="FP209" s="131"/>
    </row>
    <row r="210" spans="1:172" s="500" customFormat="1" ht="15" customHeight="1" x14ac:dyDescent="0.2">
      <c r="A210" s="495"/>
      <c r="B210" s="495"/>
      <c r="C210" s="496"/>
      <c r="D210" s="495"/>
      <c r="E210" s="497"/>
      <c r="F210" s="495"/>
      <c r="G210" s="495">
        <f t="shared" ref="G210:BE210" ca="1" si="241">G209/$E$209</f>
        <v>0</v>
      </c>
      <c r="H210" s="495">
        <f ca="1">H209/E209</f>
        <v>0.4838709677419355</v>
      </c>
      <c r="I210" s="495"/>
      <c r="J210" s="495"/>
      <c r="K210" s="495"/>
      <c r="L210" s="498">
        <f t="shared" ca="1" si="241"/>
        <v>0</v>
      </c>
      <c r="M210" s="498"/>
      <c r="N210" s="499"/>
      <c r="O210" s="495"/>
      <c r="P210" s="495"/>
      <c r="T210" s="495"/>
      <c r="U210" s="495"/>
      <c r="V210" s="495"/>
      <c r="W210" s="495"/>
      <c r="X210" s="495"/>
      <c r="Y210" s="495"/>
      <c r="Z210" s="495">
        <f t="shared" ca="1" si="241"/>
        <v>0.80645161290322576</v>
      </c>
      <c r="AA210" s="495">
        <f t="shared" ca="1" si="241"/>
        <v>0.74193548387096775</v>
      </c>
      <c r="AB210" s="495">
        <f t="shared" ca="1" si="241"/>
        <v>6.4516129032258063E-2</v>
      </c>
      <c r="AC210" s="495">
        <f t="shared" ca="1" si="241"/>
        <v>0.32258064516129031</v>
      </c>
      <c r="AD210" s="495">
        <f t="shared" ca="1" si="241"/>
        <v>9.6774193548387094E-2</v>
      </c>
      <c r="AE210" s="495">
        <f t="shared" ca="1" si="241"/>
        <v>0.41935483870967744</v>
      </c>
      <c r="AF210" s="495">
        <f t="shared" ca="1" si="241"/>
        <v>6.4516129032258063E-2</v>
      </c>
      <c r="AG210" s="495">
        <f t="shared" ca="1" si="241"/>
        <v>0.22580645161290322</v>
      </c>
      <c r="AH210" s="495">
        <f t="shared" ca="1" si="241"/>
        <v>0.22580645161290322</v>
      </c>
      <c r="AI210" s="495">
        <f t="shared" ca="1" si="241"/>
        <v>0.22580645161290322</v>
      </c>
      <c r="AJ210" s="495">
        <f t="shared" ca="1" si="241"/>
        <v>3.2258064516129031E-2</v>
      </c>
      <c r="AK210" s="495">
        <f t="shared" ca="1" si="241"/>
        <v>6.4516129032258063E-2</v>
      </c>
      <c r="AL210" s="495">
        <f t="shared" ca="1" si="241"/>
        <v>0</v>
      </c>
      <c r="AM210" s="495">
        <f t="shared" ca="1" si="241"/>
        <v>3.2258064516129031E-2</v>
      </c>
      <c r="AN210" s="495">
        <f t="shared" ca="1" si="241"/>
        <v>0</v>
      </c>
      <c r="AO210" s="495">
        <f t="shared" ca="1" si="241"/>
        <v>0.29032258064516131</v>
      </c>
      <c r="AP210" s="495">
        <f t="shared" ca="1" si="241"/>
        <v>0.29032258064516131</v>
      </c>
      <c r="AQ210" s="495">
        <f t="shared" ca="1" si="241"/>
        <v>0</v>
      </c>
      <c r="AR210" s="495">
        <f t="shared" ca="1" si="241"/>
        <v>3.2258064516129031E-2</v>
      </c>
      <c r="AS210" s="495">
        <f t="shared" ca="1" si="241"/>
        <v>0</v>
      </c>
      <c r="AT210" s="495">
        <f t="shared" ca="1" si="241"/>
        <v>6.4516129032258063E-2</v>
      </c>
      <c r="AU210" s="495">
        <f t="shared" ca="1" si="241"/>
        <v>3.2258064516129031E-2</v>
      </c>
      <c r="AV210" s="495">
        <f t="shared" ca="1" si="241"/>
        <v>0.19354838709677419</v>
      </c>
      <c r="AW210" s="495">
        <f t="shared" ca="1" si="241"/>
        <v>0.19354838709677419</v>
      </c>
      <c r="AX210" s="495">
        <f t="shared" ca="1" si="241"/>
        <v>6.4516129032258063E-2</v>
      </c>
      <c r="AY210" s="495">
        <f t="shared" ca="1" si="241"/>
        <v>9.6774193548387094E-2</v>
      </c>
      <c r="AZ210" s="495">
        <f t="shared" ca="1" si="241"/>
        <v>6.4516129032258063E-2</v>
      </c>
      <c r="BA210" s="495">
        <f t="shared" ca="1" si="241"/>
        <v>0.61290322580645162</v>
      </c>
      <c r="BB210" s="495"/>
      <c r="BC210" s="495">
        <f t="shared" ca="1" si="241"/>
        <v>0.12903225806451613</v>
      </c>
      <c r="BD210" s="495">
        <f t="shared" ca="1" si="241"/>
        <v>0.35483870967741937</v>
      </c>
      <c r="BE210" s="495">
        <f t="shared" ca="1" si="241"/>
        <v>6.4516129032258063E-2</v>
      </c>
      <c r="BF210" s="495"/>
      <c r="BG210" s="495">
        <f ca="1">BG209/$E$209</f>
        <v>0.19354838709677419</v>
      </c>
      <c r="BH210" s="495">
        <f t="shared" ref="BH210:DC210" ca="1" si="242">BH209/$E$209</f>
        <v>0.35483870967741937</v>
      </c>
      <c r="BI210" s="495">
        <f t="shared" ca="1" si="242"/>
        <v>0.54838709677419351</v>
      </c>
      <c r="BJ210" s="495"/>
      <c r="BK210" s="495"/>
      <c r="BL210" s="495">
        <f t="shared" ca="1" si="242"/>
        <v>0.22580645161290322</v>
      </c>
      <c r="BM210" s="495"/>
      <c r="BN210" s="495">
        <f t="shared" ca="1" si="242"/>
        <v>0.22580645161290322</v>
      </c>
      <c r="BO210" s="495">
        <f t="shared" ca="1" si="242"/>
        <v>0</v>
      </c>
      <c r="BP210" s="495">
        <f t="shared" ca="1" si="242"/>
        <v>6.4516129032258063E-2</v>
      </c>
      <c r="BQ210" s="495"/>
      <c r="BR210" s="495">
        <f t="shared" ca="1" si="242"/>
        <v>6.4516129032258063E-2</v>
      </c>
      <c r="BS210" s="495">
        <f t="shared" ca="1" si="242"/>
        <v>6.4516129032258063E-2</v>
      </c>
      <c r="BT210" s="495">
        <f t="shared" ca="1" si="242"/>
        <v>0.22580645161290322</v>
      </c>
      <c r="BU210" s="495">
        <f t="shared" ca="1" si="242"/>
        <v>0.22580645161290322</v>
      </c>
      <c r="BV210" s="495">
        <f t="shared" ca="1" si="242"/>
        <v>3.2258064516129031E-2</v>
      </c>
      <c r="BW210" s="495">
        <f t="shared" ca="1" si="242"/>
        <v>3.2258064516129031E-2</v>
      </c>
      <c r="BX210" s="495">
        <f t="shared" ca="1" si="242"/>
        <v>0.77419354838709675</v>
      </c>
      <c r="BY210" s="495">
        <f t="shared" ca="1" si="242"/>
        <v>0.74193548387096775</v>
      </c>
      <c r="BZ210" s="495">
        <f t="shared" ca="1" si="242"/>
        <v>0.35483870967741937</v>
      </c>
      <c r="CA210" s="495">
        <f t="shared" ca="1" si="242"/>
        <v>0.12903225806451613</v>
      </c>
      <c r="CB210" s="495">
        <f t="shared" ca="1" si="242"/>
        <v>6.4516129032258063E-2</v>
      </c>
      <c r="CC210" s="495">
        <f t="shared" ca="1" si="242"/>
        <v>0.32258064516129031</v>
      </c>
      <c r="CD210" s="495">
        <f t="shared" ca="1" si="242"/>
        <v>0.32258064516129031</v>
      </c>
      <c r="CE210" s="495">
        <f t="shared" ca="1" si="242"/>
        <v>0</v>
      </c>
      <c r="CF210" s="495">
        <f t="shared" ca="1" si="242"/>
        <v>0</v>
      </c>
      <c r="CG210" s="495">
        <f t="shared" ca="1" si="242"/>
        <v>0</v>
      </c>
      <c r="CH210" s="495">
        <f t="shared" ca="1" si="242"/>
        <v>0.12903225806451613</v>
      </c>
      <c r="CI210" s="495">
        <f t="shared" ca="1" si="242"/>
        <v>3.2258064516129031E-2</v>
      </c>
      <c r="CJ210" s="495">
        <f t="shared" ca="1" si="242"/>
        <v>0</v>
      </c>
      <c r="CK210" s="495">
        <f t="shared" ca="1" si="242"/>
        <v>0.22580645161290322</v>
      </c>
      <c r="CL210" s="495">
        <f t="shared" ca="1" si="242"/>
        <v>0.22580645161290322</v>
      </c>
      <c r="CM210" s="495">
        <f t="shared" ca="1" si="242"/>
        <v>3.2258064516129031E-2</v>
      </c>
      <c r="CN210" s="495">
        <f t="shared" ca="1" si="242"/>
        <v>6.4516129032258063E-2</v>
      </c>
      <c r="CO210" s="495">
        <f t="shared" ca="1" si="242"/>
        <v>0</v>
      </c>
      <c r="CP210" s="495">
        <f t="shared" ca="1" si="242"/>
        <v>0.38709677419354838</v>
      </c>
      <c r="CQ210" s="495">
        <f t="shared" ca="1" si="242"/>
        <v>0.35483870967741937</v>
      </c>
      <c r="CR210" s="495">
        <f t="shared" ca="1" si="242"/>
        <v>0.35483870967741937</v>
      </c>
      <c r="CS210" s="495">
        <f t="shared" ca="1" si="242"/>
        <v>0.12903225806451613</v>
      </c>
      <c r="CT210" s="495">
        <f t="shared" ca="1" si="242"/>
        <v>0.32258064516129031</v>
      </c>
      <c r="CU210" s="495">
        <f t="shared" ca="1" si="242"/>
        <v>0</v>
      </c>
      <c r="CV210" s="495">
        <f t="shared" ca="1" si="242"/>
        <v>0.45161290322580644</v>
      </c>
      <c r="CW210" s="495">
        <f t="shared" ca="1" si="242"/>
        <v>6.4516129032258063E-2</v>
      </c>
      <c r="CX210" s="495">
        <f t="shared" ca="1" si="242"/>
        <v>6.4516129032258063E-2</v>
      </c>
      <c r="CY210" s="495">
        <f t="shared" ca="1" si="242"/>
        <v>0</v>
      </c>
      <c r="CZ210" s="495">
        <f t="shared" ca="1" si="242"/>
        <v>3.2258064516129031E-2</v>
      </c>
      <c r="DA210" s="495">
        <f t="shared" ca="1" si="242"/>
        <v>0.41935483870967744</v>
      </c>
      <c r="DB210" s="495">
        <f t="shared" ca="1" si="242"/>
        <v>0.32258064516129031</v>
      </c>
      <c r="DC210" s="495">
        <f t="shared" ca="1" si="242"/>
        <v>6.4516129032258063E-2</v>
      </c>
      <c r="DQ210" s="501"/>
      <c r="DZ210" s="502"/>
      <c r="EA210" s="502"/>
      <c r="EB210" s="502"/>
      <c r="EC210" s="502"/>
      <c r="FB210" s="396"/>
      <c r="FN210" s="497"/>
      <c r="FO210" s="497"/>
      <c r="FP210" s="497"/>
    </row>
    <row r="211" spans="1:172" ht="15" customHeight="1" x14ac:dyDescent="0.2">
      <c r="DD211" s="31"/>
      <c r="FB211" s="396"/>
    </row>
    <row r="212" spans="1:172" ht="33" customHeight="1" x14ac:dyDescent="0.2">
      <c r="J212" s="80">
        <f>24/26</f>
        <v>0.92307692307692313</v>
      </c>
      <c r="FB212" s="396"/>
    </row>
    <row r="215" spans="1:172" ht="33" customHeight="1" x14ac:dyDescent="0.2">
      <c r="E215" s="130" t="s">
        <v>365</v>
      </c>
      <c r="G215" s="2">
        <f>SUBTOTAL(9,N6:N202)</f>
        <v>0</v>
      </c>
      <c r="H215" s="2"/>
      <c r="I215" s="2"/>
      <c r="J215" s="2"/>
      <c r="K215" s="2"/>
      <c r="DD215" s="31"/>
    </row>
    <row r="216" spans="1:172" ht="33" customHeight="1" x14ac:dyDescent="0.2">
      <c r="E216" s="130" t="s">
        <v>363</v>
      </c>
      <c r="G216" s="2" t="e">
        <f>SUBTOTAL(9,#REF!)</f>
        <v>#REF!</v>
      </c>
      <c r="H216" s="2"/>
      <c r="I216" s="2"/>
      <c r="J216" s="2"/>
      <c r="K216" s="2"/>
      <c r="DD216" s="31"/>
    </row>
    <row r="217" spans="1:172" ht="33" customHeight="1" x14ac:dyDescent="0.2">
      <c r="E217" s="130" t="s">
        <v>364</v>
      </c>
      <c r="G217" s="2"/>
      <c r="H217" s="2"/>
      <c r="I217" s="2"/>
      <c r="J217" s="2"/>
      <c r="K217" s="2"/>
      <c r="DD217" s="31"/>
    </row>
    <row r="224" spans="1:172" ht="33" customHeight="1" x14ac:dyDescent="0.2">
      <c r="DD224" s="31"/>
    </row>
    <row r="226" spans="5:108" ht="33" customHeight="1" x14ac:dyDescent="0.2">
      <c r="G226" s="503" t="s">
        <v>219</v>
      </c>
      <c r="H226" s="504"/>
      <c r="I226" s="504"/>
      <c r="J226" s="504"/>
      <c r="K226" s="504"/>
      <c r="L226" s="104">
        <f ca="1">SUMPRODUCT(SUBTOTAL(3,OFFSET(Z$6:Z$202,ROW(Z$6:Z$202)-MIN(ROW(Z$6:Z$202)),,1)),ISNUMBER(SEARCH("1",Z$6:Z$202))+0)</f>
        <v>25</v>
      </c>
      <c r="M226" s="104"/>
      <c r="N226" s="108"/>
      <c r="O226" s="495"/>
      <c r="P226" s="495"/>
      <c r="T226" s="495"/>
      <c r="U226" s="495"/>
      <c r="V226" s="495"/>
      <c r="W226" s="495"/>
      <c r="X226" s="495"/>
      <c r="Y226" s="495"/>
      <c r="DD226" s="31"/>
    </row>
    <row r="227" spans="5:108" ht="33" customHeight="1" x14ac:dyDescent="0.2">
      <c r="E227" s="130" t="s">
        <v>535</v>
      </c>
      <c r="F227" s="505" t="s">
        <v>590</v>
      </c>
      <c r="G227" s="503" t="s">
        <v>272</v>
      </c>
      <c r="H227" s="504"/>
      <c r="I227" s="504"/>
      <c r="J227" s="504"/>
      <c r="K227" s="504"/>
      <c r="L227" s="104">
        <f ca="1">SUMPRODUCT(SUBTOTAL(3,OFFSET(AA$6:AA$202,ROW(AA$6:AA$202)-MIN(ROW(AA$6:AA$202)),,1)),ISNUMBER(SEARCH("1",AA$6:AA$202))+0)</f>
        <v>23</v>
      </c>
      <c r="M227" s="104"/>
      <c r="N227" s="108"/>
      <c r="O227" s="495"/>
      <c r="P227" s="495"/>
      <c r="T227" s="495"/>
      <c r="U227" s="495"/>
      <c r="V227" s="495"/>
      <c r="W227" s="495"/>
      <c r="X227" s="495"/>
      <c r="Y227" s="495"/>
      <c r="DD227" s="31"/>
    </row>
    <row r="228" spans="5:108" ht="33" customHeight="1" x14ac:dyDescent="0.2">
      <c r="E228" s="130" t="s">
        <v>538</v>
      </c>
      <c r="F228" s="505" t="s">
        <v>352</v>
      </c>
      <c r="G228" s="503" t="s">
        <v>273</v>
      </c>
      <c r="H228" s="504"/>
      <c r="I228" s="504"/>
      <c r="J228" s="504"/>
      <c r="K228" s="504"/>
      <c r="L228" s="104">
        <f ca="1">SUMPRODUCT(SUBTOTAL(3,OFFSET(AB$6:AB$202,ROW(AB$6:AB$202)-MIN(ROW(AB$6:AB$202)),,1)),ISNUMBER(SEARCH("1",AB$6:AB$202))+0)</f>
        <v>2</v>
      </c>
      <c r="M228" s="104"/>
      <c r="N228" s="108"/>
      <c r="O228" s="495"/>
      <c r="P228" s="495"/>
      <c r="T228" s="495"/>
      <c r="U228" s="495"/>
      <c r="V228" s="495"/>
      <c r="W228" s="495"/>
      <c r="X228" s="495"/>
      <c r="Y228" s="495"/>
      <c r="DD228" s="31"/>
    </row>
    <row r="229" spans="5:108" ht="33" customHeight="1" x14ac:dyDescent="0.2">
      <c r="E229" s="130" t="s">
        <v>536</v>
      </c>
      <c r="F229" s="505" t="s">
        <v>591</v>
      </c>
      <c r="G229" s="503" t="s">
        <v>274</v>
      </c>
      <c r="H229" s="504"/>
      <c r="I229" s="504"/>
      <c r="J229" s="504"/>
      <c r="K229" s="504"/>
      <c r="L229" s="104">
        <f ca="1">SUMPRODUCT(SUBTOTAL(3,OFFSET(AC$6:AC$202,ROW(AC$6:AC$202)-MIN(ROW(AC$6:AC$202)),,1)),ISNUMBER(SEARCH("1",AC$6:AC$202))+0)</f>
        <v>10</v>
      </c>
      <c r="M229" s="104"/>
      <c r="N229" s="108"/>
      <c r="O229" s="495"/>
      <c r="P229" s="495"/>
      <c r="T229" s="495"/>
      <c r="U229" s="495"/>
      <c r="V229" s="495"/>
      <c r="W229" s="495"/>
      <c r="X229" s="495"/>
      <c r="Y229" s="495"/>
      <c r="DD229" s="31"/>
    </row>
    <row r="230" spans="5:108" ht="33" customHeight="1" x14ac:dyDescent="0.2">
      <c r="E230" s="130" t="s">
        <v>539</v>
      </c>
      <c r="F230" s="505" t="s">
        <v>353</v>
      </c>
      <c r="G230" s="503" t="s">
        <v>275</v>
      </c>
      <c r="H230" s="504"/>
      <c r="I230" s="504"/>
      <c r="J230" s="504"/>
      <c r="K230" s="504"/>
      <c r="L230" s="104">
        <f ca="1">SUMPRODUCT(SUBTOTAL(3,OFFSET(AD$6:AD$202,ROW(AD$6:AD$202)-MIN(ROW(AD$6:AD$202)),,1)),ISNUMBER(SEARCH("1",AD$6:AD$202))+0)</f>
        <v>3</v>
      </c>
      <c r="M230" s="104"/>
      <c r="N230" s="108"/>
      <c r="O230" s="495"/>
      <c r="P230" s="495"/>
      <c r="T230" s="495"/>
      <c r="U230" s="495"/>
      <c r="V230" s="495"/>
      <c r="W230" s="495"/>
      <c r="X230" s="495"/>
      <c r="Y230" s="495"/>
      <c r="DD230" s="31"/>
    </row>
    <row r="231" spans="5:108" ht="33" customHeight="1" x14ac:dyDescent="0.2">
      <c r="E231" s="130" t="s">
        <v>537</v>
      </c>
      <c r="F231" s="505" t="s">
        <v>592</v>
      </c>
      <c r="G231" s="503" t="s">
        <v>276</v>
      </c>
      <c r="H231" s="504"/>
      <c r="I231" s="504"/>
      <c r="J231" s="504"/>
      <c r="K231" s="504"/>
      <c r="L231" s="104">
        <f ca="1">SUMPRODUCT(SUBTOTAL(3,OFFSET(AE$6:AE$202,ROW(AE$6:AE$202)-MIN(ROW(AE$6:AE$202)),,1)),ISNUMBER(SEARCH("1",AE$6:AE$202))+0)</f>
        <v>13</v>
      </c>
      <c r="M231" s="104"/>
      <c r="N231" s="108"/>
      <c r="O231" s="495"/>
      <c r="P231" s="495"/>
      <c r="T231" s="495"/>
      <c r="U231" s="495"/>
      <c r="V231" s="495"/>
      <c r="W231" s="495"/>
      <c r="X231" s="495"/>
      <c r="Y231" s="495"/>
      <c r="DD231" s="31"/>
    </row>
    <row r="232" spans="5:108" ht="33" customHeight="1" x14ac:dyDescent="0.2">
      <c r="E232" s="130" t="s">
        <v>540</v>
      </c>
      <c r="F232" s="505" t="s">
        <v>354</v>
      </c>
      <c r="G232" s="503" t="s">
        <v>277</v>
      </c>
      <c r="H232" s="504"/>
      <c r="I232" s="504"/>
      <c r="J232" s="504"/>
      <c r="K232" s="504"/>
      <c r="L232" s="104">
        <f ca="1">SUMPRODUCT(SUBTOTAL(3,OFFSET(AF$6:AF$202,ROW(AF$6:AF$202)-MIN(ROW(AF$6:AF$202)),,1)),ISNUMBER(SEARCH("1",AF$6:AF$202))+0)</f>
        <v>2</v>
      </c>
      <c r="M232" s="104"/>
      <c r="N232" s="108"/>
      <c r="O232" s="495"/>
      <c r="P232" s="495"/>
      <c r="T232" s="495"/>
      <c r="U232" s="495"/>
      <c r="V232" s="495"/>
      <c r="W232" s="495"/>
      <c r="X232" s="495"/>
      <c r="Y232" s="495"/>
      <c r="DD232" s="31"/>
    </row>
    <row r="233" spans="5:108" ht="33" customHeight="1" x14ac:dyDescent="0.2">
      <c r="E233" s="130" t="s">
        <v>541</v>
      </c>
      <c r="F233" s="505" t="s">
        <v>1072</v>
      </c>
      <c r="G233" s="503" t="s">
        <v>278</v>
      </c>
      <c r="H233" s="504"/>
      <c r="I233" s="504"/>
      <c r="J233" s="504"/>
      <c r="K233" s="504"/>
      <c r="L233" s="104">
        <f ca="1">SUMPRODUCT(SUBTOTAL(3,OFFSET(AG$6:AG$202,ROW(AG$6:AG$202)-MIN(ROW(AG$6:AG$202)),,1)),ISNUMBER(SEARCH("1",AG$6:AG$202))+0)</f>
        <v>7</v>
      </c>
      <c r="M233" s="104"/>
      <c r="N233" s="108"/>
      <c r="O233" s="495"/>
      <c r="P233" s="495"/>
      <c r="T233" s="495"/>
      <c r="U233" s="495"/>
      <c r="V233" s="495"/>
      <c r="W233" s="495"/>
      <c r="X233" s="495"/>
      <c r="Y233" s="495"/>
      <c r="DD233" s="31"/>
    </row>
    <row r="234" spans="5:108" ht="33" customHeight="1" x14ac:dyDescent="0.2">
      <c r="G234" s="503" t="s">
        <v>220</v>
      </c>
      <c r="H234" s="504"/>
      <c r="I234" s="504"/>
      <c r="J234" s="504"/>
      <c r="K234" s="504"/>
      <c r="L234" s="104">
        <f ca="1">SUMPRODUCT(SUBTOTAL(3,OFFSET(AH$6:AH$202,ROW(AH$6:AH$202)-MIN(ROW(AH$6:AH$202)),,1)),ISNUMBER(SEARCH("1",AH$6:AH$202))+0)</f>
        <v>7</v>
      </c>
      <c r="M234" s="104"/>
      <c r="N234" s="108"/>
      <c r="O234" s="495"/>
      <c r="P234" s="495"/>
      <c r="T234" s="495"/>
      <c r="U234" s="495"/>
      <c r="V234" s="495"/>
      <c r="W234" s="495"/>
      <c r="X234" s="495"/>
      <c r="Y234" s="495"/>
      <c r="DD234" s="31"/>
    </row>
    <row r="235" spans="5:108" ht="33" customHeight="1" x14ac:dyDescent="0.2">
      <c r="E235" s="130" t="s">
        <v>542</v>
      </c>
      <c r="F235" s="505" t="s">
        <v>355</v>
      </c>
      <c r="G235" s="503" t="s">
        <v>279</v>
      </c>
      <c r="H235" s="504"/>
      <c r="I235" s="504"/>
      <c r="J235" s="504"/>
      <c r="K235" s="504"/>
      <c r="L235" s="104">
        <f ca="1">SUMPRODUCT(SUBTOTAL(3,OFFSET(AI$6:AI$202,ROW(AI$6:AI$202)-MIN(ROW(AI$6:AI$202)),,1)),ISNUMBER(SEARCH("1",AI$6:AI$202))+0)</f>
        <v>7</v>
      </c>
      <c r="M235" s="104"/>
      <c r="N235" s="108"/>
      <c r="O235" s="495"/>
      <c r="P235" s="495"/>
      <c r="T235" s="495"/>
      <c r="U235" s="495"/>
      <c r="V235" s="495"/>
      <c r="W235" s="495"/>
      <c r="X235" s="495"/>
      <c r="Y235" s="495"/>
      <c r="DD235" s="31"/>
    </row>
    <row r="236" spans="5:108" ht="33" customHeight="1" x14ac:dyDescent="0.2">
      <c r="E236" s="130" t="s">
        <v>543</v>
      </c>
      <c r="F236" s="505" t="s">
        <v>358</v>
      </c>
      <c r="G236" s="503" t="s">
        <v>280</v>
      </c>
      <c r="H236" s="504"/>
      <c r="I236" s="504"/>
      <c r="J236" s="504"/>
      <c r="K236" s="504"/>
      <c r="L236" s="104">
        <f ca="1">SUMPRODUCT(SUBTOTAL(3,OFFSET(AJ$6:AJ$202,ROW(AJ$6:AJ$202)-MIN(ROW(AJ$6:AJ$202)),,1)),ISNUMBER(SEARCH("1",AJ$6:AJ$202))+0)</f>
        <v>1</v>
      </c>
      <c r="M236" s="104"/>
      <c r="N236" s="108"/>
      <c r="O236" s="495"/>
      <c r="P236" s="495"/>
      <c r="T236" s="495"/>
      <c r="U236" s="495"/>
      <c r="V236" s="495"/>
      <c r="W236" s="495"/>
      <c r="X236" s="495"/>
      <c r="Y236" s="495"/>
      <c r="DD236" s="31"/>
    </row>
    <row r="237" spans="5:108" ht="33" customHeight="1" x14ac:dyDescent="0.2">
      <c r="E237" s="130" t="s">
        <v>544</v>
      </c>
      <c r="F237" s="505" t="s">
        <v>356</v>
      </c>
      <c r="G237" s="503" t="s">
        <v>281</v>
      </c>
      <c r="H237" s="504"/>
      <c r="I237" s="504"/>
      <c r="J237" s="504"/>
      <c r="K237" s="504"/>
      <c r="L237" s="104">
        <f ca="1">SUMPRODUCT(SUBTOTAL(3,OFFSET(AK$6:AK$202,ROW(AK$6:AK$202)-MIN(ROW(AK$6:AK$202)),,1)),ISNUMBER(SEARCH("1",AK$6:AK$202))+0)</f>
        <v>2</v>
      </c>
      <c r="M237" s="104"/>
      <c r="N237" s="108"/>
      <c r="O237" s="495"/>
      <c r="P237" s="495"/>
      <c r="T237" s="495"/>
      <c r="U237" s="495"/>
      <c r="V237" s="495"/>
      <c r="W237" s="495"/>
      <c r="X237" s="495"/>
      <c r="Y237" s="495"/>
      <c r="DD237" s="31"/>
    </row>
    <row r="238" spans="5:108" ht="33" customHeight="1" x14ac:dyDescent="0.2">
      <c r="E238" s="130" t="s">
        <v>545</v>
      </c>
      <c r="F238" s="505" t="s">
        <v>534</v>
      </c>
      <c r="G238" s="503" t="s">
        <v>282</v>
      </c>
      <c r="H238" s="504"/>
      <c r="I238" s="504"/>
      <c r="J238" s="504"/>
      <c r="K238" s="504"/>
      <c r="L238" s="104">
        <f ca="1">SUMPRODUCT(SUBTOTAL(3,OFFSET(AL$6:AL$202,ROW(AL$6:AL$202)-MIN(ROW(AL$6:AL$202)),,1)),ISNUMBER(SEARCH("1",AL$6:AL$202))+0)</f>
        <v>0</v>
      </c>
      <c r="M238" s="104"/>
      <c r="N238" s="108"/>
      <c r="O238" s="495"/>
      <c r="P238" s="495"/>
      <c r="T238" s="495"/>
      <c r="U238" s="495"/>
      <c r="V238" s="495"/>
      <c r="W238" s="495"/>
      <c r="X238" s="495"/>
      <c r="Y238" s="495"/>
      <c r="DD238" s="31"/>
    </row>
    <row r="239" spans="5:108" ht="33" customHeight="1" x14ac:dyDescent="0.2">
      <c r="E239" s="130" t="s">
        <v>546</v>
      </c>
      <c r="F239" s="505" t="s">
        <v>357</v>
      </c>
      <c r="G239" s="503" t="s">
        <v>283</v>
      </c>
      <c r="H239" s="504"/>
      <c r="I239" s="504"/>
      <c r="J239" s="504"/>
      <c r="K239" s="504"/>
      <c r="L239" s="104">
        <f ca="1">SUMPRODUCT(SUBTOTAL(3,OFFSET(AM$6:AM$202,ROW(AM$6:AM$202)-MIN(ROW(AM$6:AM$202)),,1)),ISNUMBER(SEARCH("1",AM$6:AM$202))+0)</f>
        <v>1</v>
      </c>
      <c r="M239" s="104"/>
      <c r="N239" s="108"/>
      <c r="O239" s="495"/>
      <c r="P239" s="495"/>
      <c r="T239" s="495"/>
      <c r="U239" s="495"/>
      <c r="V239" s="495"/>
      <c r="W239" s="495"/>
      <c r="X239" s="495"/>
      <c r="Y239" s="495"/>
      <c r="DD239" s="31"/>
    </row>
    <row r="240" spans="5:108" ht="33" customHeight="1" x14ac:dyDescent="0.2">
      <c r="E240" s="130" t="s">
        <v>593</v>
      </c>
      <c r="F240" s="505" t="s">
        <v>594</v>
      </c>
      <c r="G240" s="503" t="s">
        <v>284</v>
      </c>
      <c r="H240" s="504"/>
      <c r="I240" s="504"/>
      <c r="J240" s="504"/>
      <c r="K240" s="504"/>
      <c r="L240" s="104">
        <f ca="1">SUMPRODUCT(SUBTOTAL(3,OFFSET(AN$6:AN$202,ROW(AN$6:AN$202)-MIN(ROW(AN$6:AN$202)),,1)),ISNUMBER(SEARCH("1",AN$6:AN$202))+0)</f>
        <v>0</v>
      </c>
      <c r="M240" s="104"/>
      <c r="N240" s="108"/>
      <c r="O240" s="495"/>
      <c r="P240" s="495"/>
      <c r="T240" s="495"/>
      <c r="U240" s="495"/>
      <c r="V240" s="495"/>
      <c r="W240" s="495"/>
      <c r="X240" s="495"/>
      <c r="Y240" s="495"/>
      <c r="DD240" s="31"/>
    </row>
    <row r="241" spans="5:108" ht="33" customHeight="1" x14ac:dyDescent="0.2">
      <c r="G241" s="506" t="s">
        <v>675</v>
      </c>
      <c r="H241" s="507"/>
      <c r="I241" s="507"/>
      <c r="J241" s="507"/>
      <c r="K241" s="507"/>
      <c r="L241" s="104">
        <f ca="1">SUMPRODUCT(SUBTOTAL(3,OFFSET(AO$6:AO$202,ROW(AO$6:AO$202)-MIN(ROW(AO$6:AO$202)),,1)),ISNUMBER(SEARCH("1",AO$6:AO$202))+0)</f>
        <v>9</v>
      </c>
      <c r="M241" s="104"/>
      <c r="N241" s="108"/>
      <c r="O241" s="495"/>
      <c r="P241" s="495"/>
      <c r="T241" s="495"/>
      <c r="U241" s="495"/>
      <c r="V241" s="495"/>
      <c r="W241" s="495"/>
      <c r="X241" s="495"/>
      <c r="Y241" s="495"/>
      <c r="DD241" s="31"/>
    </row>
    <row r="242" spans="5:108" ht="33" customHeight="1" x14ac:dyDescent="0.2">
      <c r="E242" s="130" t="s">
        <v>547</v>
      </c>
      <c r="F242" s="82" t="s">
        <v>595</v>
      </c>
      <c r="G242" s="508" t="s">
        <v>285</v>
      </c>
      <c r="H242" s="509"/>
      <c r="I242" s="509"/>
      <c r="J242" s="509"/>
      <c r="K242" s="509"/>
      <c r="L242" s="104">
        <f ca="1">SUMPRODUCT(SUBTOTAL(3,OFFSET(AP$6:AP$202,ROW(AP$6:AP$202)-MIN(ROW(AP$6:AP$202)),,1)),ISNUMBER(SEARCH("1",AP$6:AP$202))+0)</f>
        <v>9</v>
      </c>
      <c r="M242" s="104"/>
      <c r="N242" s="108"/>
      <c r="O242" s="495"/>
      <c r="P242" s="495"/>
      <c r="T242" s="495"/>
      <c r="U242" s="495"/>
      <c r="V242" s="495"/>
      <c r="W242" s="495"/>
      <c r="X242" s="495"/>
      <c r="Y242" s="495"/>
      <c r="DD242" s="31"/>
    </row>
    <row r="243" spans="5:108" ht="33" customHeight="1" x14ac:dyDescent="0.2">
      <c r="E243" s="130" t="s">
        <v>548</v>
      </c>
      <c r="F243" s="82" t="s">
        <v>596</v>
      </c>
      <c r="G243" s="508" t="s">
        <v>286</v>
      </c>
      <c r="H243" s="509"/>
      <c r="I243" s="509"/>
      <c r="J243" s="509"/>
      <c r="K243" s="509"/>
      <c r="L243" s="104">
        <f ca="1">SUMPRODUCT(SUBTOTAL(3,OFFSET(AQ$6:AQ$202,ROW(AQ$6:AQ$202)-MIN(ROW(AQ$6:AQ$202)),,1)),ISNUMBER(SEARCH("1",AQ$6:AQ$202))+0)</f>
        <v>0</v>
      </c>
      <c r="M243" s="104"/>
      <c r="N243" s="108"/>
      <c r="O243" s="495"/>
      <c r="P243" s="495"/>
      <c r="T243" s="495"/>
      <c r="U243" s="495"/>
      <c r="V243" s="495"/>
      <c r="W243" s="495"/>
      <c r="X243" s="495"/>
      <c r="Y243" s="495"/>
      <c r="DD243" s="31"/>
    </row>
    <row r="244" spans="5:108" ht="33" customHeight="1" x14ac:dyDescent="0.2">
      <c r="E244" s="130" t="s">
        <v>549</v>
      </c>
      <c r="F244" s="82" t="s">
        <v>597</v>
      </c>
      <c r="G244" s="508" t="s">
        <v>287</v>
      </c>
      <c r="H244" s="509"/>
      <c r="I244" s="509"/>
      <c r="J244" s="509"/>
      <c r="K244" s="509"/>
      <c r="L244" s="104">
        <f ca="1">SUMPRODUCT(SUBTOTAL(3,OFFSET(AR$6:AR$202,ROW(AR$6:AR$202)-MIN(ROW(AR$6:AR$202)),,1)),ISNUMBER(SEARCH("1",AR$6:AR$202))+0)</f>
        <v>1</v>
      </c>
      <c r="M244" s="104"/>
      <c r="N244" s="108"/>
      <c r="O244" s="495"/>
      <c r="P244" s="495"/>
      <c r="T244" s="495"/>
      <c r="U244" s="495"/>
      <c r="V244" s="495"/>
      <c r="W244" s="495"/>
      <c r="X244" s="495"/>
      <c r="Y244" s="495"/>
      <c r="DD244" s="31"/>
    </row>
    <row r="245" spans="5:108" ht="33" customHeight="1" x14ac:dyDescent="0.2">
      <c r="E245" s="130" t="s">
        <v>550</v>
      </c>
      <c r="F245" s="82" t="s">
        <v>598</v>
      </c>
      <c r="G245" s="508" t="s">
        <v>288</v>
      </c>
      <c r="H245" s="509"/>
      <c r="I245" s="509"/>
      <c r="J245" s="509"/>
      <c r="K245" s="509"/>
      <c r="L245" s="104">
        <f ca="1">SUMPRODUCT(SUBTOTAL(3,OFFSET(AS$6:AS$202,ROW(AS$6:AS$202)-MIN(ROW(AS$6:AS$202)),,1)),ISNUMBER(SEARCH("1",AS$6:AS$202))+0)</f>
        <v>0</v>
      </c>
      <c r="M245" s="104"/>
      <c r="N245" s="108"/>
      <c r="O245" s="495"/>
      <c r="P245" s="495"/>
      <c r="T245" s="495"/>
      <c r="U245" s="495"/>
      <c r="V245" s="495"/>
      <c r="W245" s="495"/>
      <c r="X245" s="495"/>
      <c r="Y245" s="495"/>
      <c r="DD245" s="31"/>
    </row>
    <row r="246" spans="5:108" ht="33" customHeight="1" x14ac:dyDescent="0.2">
      <c r="E246" s="130" t="s">
        <v>551</v>
      </c>
      <c r="F246" s="82" t="s">
        <v>599</v>
      </c>
      <c r="G246" s="508" t="s">
        <v>290</v>
      </c>
      <c r="H246" s="509"/>
      <c r="I246" s="509"/>
      <c r="J246" s="509"/>
      <c r="K246" s="509"/>
      <c r="L246" s="104">
        <f ca="1">SUMPRODUCT(SUBTOTAL(3,OFFSET(AT$6:AT$202,ROW(AT$6:AT$202)-MIN(ROW(AT$6:AT$202)),,1)),ISNUMBER(SEARCH("1",AT$6:AT$202))+0)</f>
        <v>2</v>
      </c>
      <c r="M246" s="104"/>
      <c r="N246" s="108"/>
      <c r="O246" s="495"/>
      <c r="P246" s="495"/>
      <c r="T246" s="495"/>
      <c r="U246" s="495"/>
      <c r="V246" s="495"/>
      <c r="W246" s="495"/>
      <c r="X246" s="495"/>
      <c r="Y246" s="495"/>
      <c r="DD246" s="31"/>
    </row>
    <row r="247" spans="5:108" ht="33" customHeight="1" x14ac:dyDescent="0.2">
      <c r="E247" s="130" t="s">
        <v>552</v>
      </c>
      <c r="F247" s="82" t="s">
        <v>600</v>
      </c>
      <c r="G247" s="508" t="s">
        <v>289</v>
      </c>
      <c r="H247" s="509"/>
      <c r="I247" s="509"/>
      <c r="J247" s="509"/>
      <c r="K247" s="509"/>
      <c r="L247" s="104">
        <f ca="1">SUMPRODUCT(SUBTOTAL(3,OFFSET(AU$6:AU$202,ROW(AU$6:AU$202)-MIN(ROW(AU$6:AU$202)),,1)),ISNUMBER(SEARCH("1",AU$6:AU$202))+0)</f>
        <v>1</v>
      </c>
      <c r="M247" s="104"/>
      <c r="N247" s="108"/>
      <c r="O247" s="495"/>
      <c r="P247" s="495"/>
      <c r="T247" s="495"/>
      <c r="U247" s="495"/>
      <c r="V247" s="495"/>
      <c r="W247" s="495"/>
      <c r="X247" s="495"/>
      <c r="Y247" s="495"/>
      <c r="DD247" s="31"/>
    </row>
    <row r="248" spans="5:108" ht="33" customHeight="1" x14ac:dyDescent="0.2">
      <c r="G248" s="506" t="s">
        <v>676</v>
      </c>
      <c r="H248" s="507"/>
      <c r="I248" s="507"/>
      <c r="J248" s="507"/>
      <c r="K248" s="507"/>
      <c r="L248" s="104">
        <f ca="1">SUMPRODUCT(SUBTOTAL(3,OFFSET(AV$6:AV$202,ROW(AV$6:AV$202)-MIN(ROW(AV$6:AV$202)),,1)),ISNUMBER(SEARCH("1",AV$6:AV$202))+0)</f>
        <v>6</v>
      </c>
      <c r="M248" s="104"/>
      <c r="N248" s="108"/>
      <c r="O248" s="495"/>
      <c r="P248" s="495"/>
      <c r="T248" s="495"/>
      <c r="U248" s="495"/>
      <c r="V248" s="495"/>
      <c r="W248" s="495"/>
      <c r="X248" s="495"/>
      <c r="Y248" s="495"/>
      <c r="DD248" s="31"/>
    </row>
    <row r="249" spans="5:108" ht="33" customHeight="1" x14ac:dyDescent="0.2">
      <c r="E249" s="130" t="s">
        <v>553</v>
      </c>
      <c r="F249" s="82" t="s">
        <v>601</v>
      </c>
      <c r="G249" s="506" t="s">
        <v>291</v>
      </c>
      <c r="H249" s="507"/>
      <c r="I249" s="507"/>
      <c r="J249" s="507"/>
      <c r="K249" s="507"/>
      <c r="L249" s="104">
        <f ca="1">SUMPRODUCT(SUBTOTAL(3,OFFSET(AW$6:AW$202,ROW(AW$6:AW$202)-MIN(ROW(AW$6:AW$202)),,1)),ISNUMBER(SEARCH("1",AW$6:AW$202))+0)</f>
        <v>6</v>
      </c>
      <c r="M249" s="104"/>
      <c r="N249" s="108"/>
      <c r="O249" s="495"/>
      <c r="P249" s="495"/>
      <c r="T249" s="495"/>
      <c r="U249" s="495"/>
      <c r="V249" s="495"/>
      <c r="W249" s="495"/>
      <c r="X249" s="495"/>
      <c r="Y249" s="495"/>
      <c r="DD249" s="31"/>
    </row>
    <row r="250" spans="5:108" ht="33" customHeight="1" x14ac:dyDescent="0.2">
      <c r="E250" s="130" t="s">
        <v>554</v>
      </c>
      <c r="F250" s="82" t="s">
        <v>602</v>
      </c>
      <c r="G250" s="506" t="s">
        <v>292</v>
      </c>
      <c r="H250" s="507"/>
      <c r="I250" s="507"/>
      <c r="J250" s="507"/>
      <c r="K250" s="507"/>
      <c r="L250" s="104">
        <f ca="1">SUMPRODUCT(SUBTOTAL(3,OFFSET(AX$6:AX$202,ROW(AX$6:AX$202)-MIN(ROW(AX$6:AX$202)),,1)),ISNUMBER(SEARCH("1",AX$6:AX$202))+0)</f>
        <v>2</v>
      </c>
      <c r="M250" s="104"/>
      <c r="N250" s="108"/>
      <c r="O250" s="495"/>
      <c r="P250" s="495"/>
      <c r="T250" s="495"/>
      <c r="U250" s="495"/>
      <c r="V250" s="495"/>
      <c r="W250" s="495"/>
      <c r="X250" s="495"/>
      <c r="Y250" s="495"/>
      <c r="DD250" s="31"/>
    </row>
    <row r="251" spans="5:108" ht="33" customHeight="1" x14ac:dyDescent="0.2">
      <c r="E251" s="130" t="s">
        <v>555</v>
      </c>
      <c r="F251" s="82" t="s">
        <v>603</v>
      </c>
      <c r="G251" s="506" t="s">
        <v>293</v>
      </c>
      <c r="H251" s="507"/>
      <c r="I251" s="507"/>
      <c r="J251" s="507"/>
      <c r="K251" s="507"/>
      <c r="L251" s="104">
        <f ca="1">SUMPRODUCT(SUBTOTAL(3,OFFSET(AY$6:AY$202,ROW(AY$6:AY$202)-MIN(ROW(AY$6:AY$202)),,1)),ISNUMBER(SEARCH("1",AY$6:AY$202))+0)</f>
        <v>3</v>
      </c>
      <c r="M251" s="104"/>
      <c r="N251" s="108"/>
      <c r="O251" s="495"/>
      <c r="P251" s="495"/>
      <c r="T251" s="495"/>
      <c r="U251" s="495"/>
      <c r="V251" s="495"/>
      <c r="W251" s="495"/>
      <c r="X251" s="495"/>
      <c r="Y251" s="495"/>
      <c r="DD251" s="31"/>
    </row>
    <row r="252" spans="5:108" ht="33" customHeight="1" x14ac:dyDescent="0.2">
      <c r="E252" s="130" t="s">
        <v>556</v>
      </c>
      <c r="F252" s="82" t="s">
        <v>604</v>
      </c>
      <c r="G252" s="506" t="s">
        <v>294</v>
      </c>
      <c r="H252" s="507"/>
      <c r="I252" s="507"/>
      <c r="J252" s="507"/>
      <c r="K252" s="507"/>
      <c r="L252" s="104">
        <f ca="1">SUMPRODUCT(SUBTOTAL(3,OFFSET(AZ$6:AZ$202,ROW(AZ$6:AZ$202)-MIN(ROW(AZ$6:AZ$202)),,1)),ISNUMBER(SEARCH("1",AZ$6:AZ$202))+0)</f>
        <v>2</v>
      </c>
      <c r="M252" s="104"/>
      <c r="N252" s="108"/>
      <c r="O252" s="495"/>
      <c r="P252" s="495"/>
      <c r="T252" s="495"/>
      <c r="U252" s="495"/>
      <c r="V252" s="495"/>
      <c r="W252" s="495"/>
      <c r="X252" s="495"/>
      <c r="Y252" s="495"/>
      <c r="DD252" s="31"/>
    </row>
    <row r="253" spans="5:108" ht="33" customHeight="1" x14ac:dyDescent="0.2">
      <c r="E253" s="130" t="s">
        <v>557</v>
      </c>
      <c r="F253" s="82" t="s">
        <v>605</v>
      </c>
      <c r="G253" s="83" t="s">
        <v>217</v>
      </c>
      <c r="H253" s="84"/>
      <c r="I253" s="84"/>
      <c r="J253" s="84"/>
      <c r="K253" s="84"/>
      <c r="L253" s="104">
        <f ca="1">SUMPRODUCT(SUBTOTAL(3,OFFSET(BA$6:BA$202,ROW(BA$6:BA$202)-MIN(ROW(BA$6:BA$202)),,1)),ISNUMBER(SEARCH("1",BA$6:BA$202))+0)</f>
        <v>19</v>
      </c>
      <c r="M253" s="104"/>
      <c r="N253" s="108"/>
      <c r="O253" s="495"/>
      <c r="P253" s="495"/>
      <c r="T253" s="495"/>
      <c r="U253" s="495"/>
      <c r="V253" s="495"/>
      <c r="W253" s="495"/>
      <c r="X253" s="495"/>
      <c r="Y253" s="495"/>
      <c r="DD253" s="31"/>
    </row>
    <row r="254" spans="5:108" ht="33" customHeight="1" x14ac:dyDescent="0.2">
      <c r="E254" s="130" t="s">
        <v>558</v>
      </c>
      <c r="F254" s="82" t="s">
        <v>606</v>
      </c>
      <c r="G254" s="5" t="s">
        <v>239</v>
      </c>
      <c r="H254" s="27"/>
      <c r="I254" s="27"/>
      <c r="J254" s="27"/>
      <c r="K254" s="27"/>
      <c r="L254" s="104">
        <f ca="1">SUMPRODUCT(SUBTOTAL(3,OFFSET(BC$6:BC$202,ROW(BC$6:BC$202)-MIN(ROW(BC$6:BC$202)),,1)),ISNUMBER(SEARCH("1",BC$6:BC$202))+0)</f>
        <v>4</v>
      </c>
      <c r="M254" s="104"/>
      <c r="N254" s="108"/>
      <c r="O254" s="495"/>
      <c r="P254" s="495"/>
      <c r="T254" s="495"/>
      <c r="U254" s="495"/>
      <c r="V254" s="495"/>
      <c r="W254" s="495"/>
      <c r="X254" s="495"/>
      <c r="Y254" s="495"/>
      <c r="DD254" s="31"/>
    </row>
    <row r="255" spans="5:108" ht="33" customHeight="1" x14ac:dyDescent="0.2">
      <c r="E255" s="130" t="s">
        <v>559</v>
      </c>
      <c r="F255" s="82" t="s">
        <v>607</v>
      </c>
      <c r="G255" s="510" t="s">
        <v>238</v>
      </c>
      <c r="H255" s="511"/>
      <c r="I255" s="511"/>
      <c r="J255" s="511"/>
      <c r="K255" s="511"/>
      <c r="L255" s="104">
        <f ca="1">SUMPRODUCT(SUBTOTAL(3,OFFSET(BD$6:BD$202,ROW(BD$6:BD$202)-MIN(ROW(BD$6:BD$202)),,1)),ISNUMBER(SEARCH("1",BD$6:BD$202))+0)</f>
        <v>11</v>
      </c>
      <c r="M255" s="104"/>
      <c r="N255" s="108"/>
      <c r="O255" s="495"/>
      <c r="P255" s="495"/>
      <c r="T255" s="495"/>
      <c r="U255" s="495"/>
      <c r="V255" s="495"/>
      <c r="W255" s="495"/>
      <c r="X255" s="495"/>
      <c r="Y255" s="495"/>
      <c r="DD255" s="31"/>
    </row>
    <row r="256" spans="5:108" ht="33" customHeight="1" x14ac:dyDescent="0.2">
      <c r="E256" s="130" t="s">
        <v>560</v>
      </c>
      <c r="F256" s="82" t="s">
        <v>608</v>
      </c>
      <c r="G256" s="510" t="s">
        <v>237</v>
      </c>
      <c r="H256" s="511"/>
      <c r="I256" s="511"/>
      <c r="J256" s="511"/>
      <c r="K256" s="511"/>
      <c r="L256" s="104">
        <f ca="1">SUMPRODUCT(SUBTOTAL(3,OFFSET(BE$6:BE$202,ROW(BE$6:BE$202)-MIN(ROW(BE$6:BE$202)),,1)),ISNUMBER(SEARCH("1",BE$6:BE$202))+0)</f>
        <v>2</v>
      </c>
      <c r="M256" s="104"/>
      <c r="N256" s="108"/>
      <c r="O256" s="495"/>
      <c r="P256" s="495"/>
      <c r="T256" s="495"/>
      <c r="U256" s="495"/>
      <c r="V256" s="495"/>
      <c r="W256" s="495"/>
      <c r="X256" s="495"/>
      <c r="Y256" s="495"/>
      <c r="DD256" s="31"/>
    </row>
    <row r="257" spans="5:108" ht="33" customHeight="1" x14ac:dyDescent="0.2">
      <c r="E257" s="130" t="s">
        <v>561</v>
      </c>
      <c r="F257" s="82" t="s">
        <v>609</v>
      </c>
      <c r="G257" s="510" t="s">
        <v>322</v>
      </c>
      <c r="H257" s="511"/>
      <c r="I257" s="511"/>
      <c r="J257" s="511"/>
      <c r="K257" s="511"/>
      <c r="L257" s="104">
        <f ca="1">SUMPRODUCT(SUBTOTAL(3,OFFSET(BG$6:BG$202,ROW(BG$6:BG$202)-MIN(ROW(BG$6:BG$202)),,1)),ISNUMBER(SEARCH("1",BG$6:BG$202))+0)</f>
        <v>6</v>
      </c>
      <c r="M257" s="104"/>
      <c r="N257" s="108"/>
      <c r="O257" s="495"/>
      <c r="P257" s="495"/>
      <c r="T257" s="495"/>
      <c r="U257" s="495"/>
      <c r="V257" s="495"/>
      <c r="W257" s="495"/>
      <c r="X257" s="495"/>
      <c r="Y257" s="495"/>
      <c r="DD257" s="31"/>
    </row>
    <row r="258" spans="5:108" ht="33" customHeight="1" x14ac:dyDescent="0.2">
      <c r="E258" s="130" t="s">
        <v>562</v>
      </c>
      <c r="F258" s="82" t="s">
        <v>610</v>
      </c>
      <c r="G258" s="8" t="s">
        <v>247</v>
      </c>
      <c r="H258" s="28"/>
      <c r="I258" s="28"/>
      <c r="J258" s="28"/>
      <c r="K258" s="28"/>
      <c r="L258" s="104">
        <f ca="1">SUMPRODUCT(SUBTOTAL(3,OFFSET(BI$6:BI$202,ROW(BI$6:BI$202)-MIN(ROW(BI$6:BI$202)),,1)),ISNUMBER(SEARCH("1",BI$6:BI$202))+0)</f>
        <v>17</v>
      </c>
      <c r="M258" s="104"/>
      <c r="N258" s="108"/>
      <c r="O258" s="495"/>
      <c r="P258" s="495"/>
      <c r="T258" s="495"/>
      <c r="U258" s="495"/>
      <c r="V258" s="495"/>
      <c r="W258" s="495"/>
      <c r="X258" s="495"/>
      <c r="Y258" s="495"/>
      <c r="DD258" s="31"/>
    </row>
    <row r="259" spans="5:108" ht="33" customHeight="1" x14ac:dyDescent="0.2">
      <c r="G259" s="512" t="s">
        <v>258</v>
      </c>
      <c r="H259" s="513"/>
      <c r="I259" s="513"/>
      <c r="J259" s="513"/>
      <c r="K259" s="513"/>
      <c r="L259" s="104">
        <f ca="1">SUMPRODUCT(SUBTOTAL(3,OFFSET(BL$6:BL$202,ROW(BL$6:BL$202)-MIN(ROW(BL$6:BL$202)),,1)),ISNUMBER(SEARCH("1",BL$6:BL$202))+0)</f>
        <v>7</v>
      </c>
      <c r="M259" s="104"/>
      <c r="N259" s="108"/>
      <c r="O259" s="495"/>
      <c r="P259" s="495"/>
      <c r="T259" s="495"/>
      <c r="U259" s="495"/>
      <c r="V259" s="495"/>
      <c r="W259" s="495"/>
      <c r="X259" s="495"/>
      <c r="Y259" s="495"/>
      <c r="DD259" s="31"/>
    </row>
    <row r="260" spans="5:108" ht="33" customHeight="1" x14ac:dyDescent="0.2">
      <c r="E260" s="130" t="s">
        <v>563</v>
      </c>
      <c r="F260" s="82" t="s">
        <v>622</v>
      </c>
      <c r="G260" s="512" t="s">
        <v>295</v>
      </c>
      <c r="H260" s="513"/>
      <c r="I260" s="513"/>
      <c r="J260" s="513"/>
      <c r="K260" s="513"/>
      <c r="L260" s="104">
        <f ca="1">SUMPRODUCT(SUBTOTAL(3,OFFSET(BN$6:BN$202,ROW(BN$6:BN$202)-MIN(ROW(BN$6:BN$202)),,1)),ISNUMBER(SEARCH("1",BN$6:BN$202))+0)</f>
        <v>7</v>
      </c>
      <c r="M260" s="104"/>
      <c r="N260" s="108"/>
      <c r="O260" s="495"/>
      <c r="P260" s="495"/>
      <c r="T260" s="495"/>
      <c r="U260" s="495"/>
      <c r="V260" s="495"/>
      <c r="W260" s="495"/>
      <c r="X260" s="495"/>
      <c r="Y260" s="495"/>
      <c r="DD260" s="31"/>
    </row>
    <row r="261" spans="5:108" ht="33" customHeight="1" x14ac:dyDescent="0.2">
      <c r="E261" s="130" t="s">
        <v>564</v>
      </c>
      <c r="F261" s="82" t="s">
        <v>611</v>
      </c>
      <c r="G261" s="512" t="s">
        <v>911</v>
      </c>
      <c r="H261" s="513"/>
      <c r="I261" s="513"/>
      <c r="J261" s="513"/>
      <c r="K261" s="513"/>
      <c r="L261" s="104">
        <f ca="1">SUMPRODUCT(SUBTOTAL(3,OFFSET(BO$6:BO$202,ROW(BO$6:BO$202)-MIN(ROW(BO$6:BO$202)),,1)),ISNUMBER(SEARCH("1",BO$6:BO$202))+0)</f>
        <v>0</v>
      </c>
      <c r="M261" s="104"/>
      <c r="N261" s="108"/>
      <c r="O261" s="495"/>
      <c r="P261" s="495"/>
      <c r="T261" s="495"/>
      <c r="U261" s="495"/>
      <c r="V261" s="495"/>
      <c r="W261" s="495"/>
      <c r="X261" s="495"/>
      <c r="Y261" s="495"/>
      <c r="DD261" s="31"/>
    </row>
    <row r="262" spans="5:108" ht="33" customHeight="1" x14ac:dyDescent="0.2">
      <c r="G262" s="512" t="s">
        <v>259</v>
      </c>
      <c r="H262" s="513"/>
      <c r="I262" s="513"/>
      <c r="J262" s="513"/>
      <c r="K262" s="513"/>
      <c r="L262" s="104">
        <f ca="1">SUMPRODUCT(SUBTOTAL(3,OFFSET(BP$6:BP$202,ROW(BP$6:BP$202)-MIN(ROW(BP$6:BP$202)),,1)),ISNUMBER(SEARCH("1",BP$6:BP$202))+0)</f>
        <v>2</v>
      </c>
      <c r="M262" s="104"/>
      <c r="N262" s="108"/>
      <c r="O262" s="495"/>
      <c r="P262" s="495"/>
      <c r="T262" s="495"/>
      <c r="U262" s="495"/>
      <c r="V262" s="495"/>
      <c r="W262" s="495"/>
      <c r="X262" s="495"/>
      <c r="Y262" s="495"/>
      <c r="DD262" s="31"/>
    </row>
    <row r="263" spans="5:108" ht="33" customHeight="1" x14ac:dyDescent="0.2">
      <c r="E263" s="130" t="s">
        <v>565</v>
      </c>
      <c r="F263" s="82" t="s">
        <v>623</v>
      </c>
      <c r="G263" s="512" t="s">
        <v>347</v>
      </c>
      <c r="H263" s="513"/>
      <c r="I263" s="513"/>
      <c r="J263" s="513"/>
      <c r="K263" s="513"/>
      <c r="L263" s="104">
        <f ca="1">SUMPRODUCT(SUBTOTAL(3,OFFSET(BR$6:BR$202,ROW(BR$6:BR$202)-MIN(ROW(BR$6:BR$202)),,1)),ISNUMBER(SEARCH("1",BR$6:BR$202))+0)</f>
        <v>2</v>
      </c>
      <c r="M263" s="104"/>
      <c r="N263" s="108"/>
      <c r="O263" s="495"/>
      <c r="P263" s="495"/>
      <c r="T263" s="495"/>
      <c r="U263" s="495"/>
      <c r="V263" s="495"/>
      <c r="W263" s="495"/>
      <c r="X263" s="495"/>
      <c r="Y263" s="495"/>
      <c r="DD263" s="31"/>
    </row>
    <row r="264" spans="5:108" ht="33" customHeight="1" x14ac:dyDescent="0.2">
      <c r="E264" s="130" t="s">
        <v>564</v>
      </c>
      <c r="F264" s="82" t="s">
        <v>612</v>
      </c>
      <c r="G264" s="512" t="s">
        <v>349</v>
      </c>
      <c r="H264" s="513"/>
      <c r="I264" s="513"/>
      <c r="J264" s="513"/>
      <c r="K264" s="513"/>
      <c r="L264" s="104">
        <f ca="1">SUMPRODUCT(SUBTOTAL(3,OFFSET(BS$6:BS$202,ROW(BS$6:BS$202)-MIN(ROW(BS$6:BS$202)),,1)),ISNUMBER(SEARCH("1",BS$6:BS$202))+0)</f>
        <v>2</v>
      </c>
      <c r="M264" s="104"/>
      <c r="N264" s="108"/>
      <c r="O264" s="495"/>
      <c r="P264" s="495"/>
      <c r="T264" s="495"/>
      <c r="U264" s="495"/>
      <c r="V264" s="495"/>
      <c r="W264" s="495"/>
      <c r="X264" s="495"/>
      <c r="Y264" s="495"/>
      <c r="DD264" s="31"/>
    </row>
    <row r="265" spans="5:108" ht="33" customHeight="1" x14ac:dyDescent="0.2">
      <c r="G265" s="512" t="s">
        <v>300</v>
      </c>
      <c r="H265" s="513"/>
      <c r="I265" s="513"/>
      <c r="J265" s="513"/>
      <c r="K265" s="513"/>
      <c r="L265" s="104">
        <f ca="1">SUMPRODUCT(SUBTOTAL(3,OFFSET(BT$6:BT$202,ROW(BT$6:BT$202)-MIN(ROW(BT$6:BT$202)),,1)),ISNUMBER(SEARCH("1",BT$6:BT$202))+0)</f>
        <v>7</v>
      </c>
      <c r="M265" s="104"/>
      <c r="N265" s="108"/>
      <c r="O265" s="495"/>
      <c r="P265" s="495"/>
      <c r="T265" s="495"/>
      <c r="U265" s="495"/>
      <c r="V265" s="495"/>
      <c r="W265" s="495"/>
      <c r="X265" s="495"/>
      <c r="Y265" s="495"/>
      <c r="DD265" s="31"/>
    </row>
    <row r="266" spans="5:108" ht="33" customHeight="1" x14ac:dyDescent="0.2">
      <c r="E266" s="130" t="s">
        <v>566</v>
      </c>
      <c r="F266" s="82" t="s">
        <v>613</v>
      </c>
      <c r="G266" s="512" t="s">
        <v>298</v>
      </c>
      <c r="H266" s="513"/>
      <c r="I266" s="513"/>
      <c r="J266" s="513"/>
      <c r="K266" s="513"/>
      <c r="L266" s="104">
        <f ca="1">SUMPRODUCT(SUBTOTAL(3,OFFSET(BU$6:BU$202,ROW(BU$6:BU$202)-MIN(ROW(BU$6:BU$202)),,1)),ISNUMBER(SEARCH("1",BU$6:BU$202))+0)</f>
        <v>7</v>
      </c>
      <c r="M266" s="104"/>
      <c r="N266" s="108"/>
      <c r="O266" s="495"/>
      <c r="P266" s="495"/>
      <c r="T266" s="495"/>
      <c r="U266" s="495"/>
      <c r="V266" s="495"/>
      <c r="W266" s="495"/>
      <c r="X266" s="495"/>
      <c r="Y266" s="495"/>
      <c r="DD266" s="31"/>
    </row>
    <row r="267" spans="5:108" ht="33" customHeight="1" x14ac:dyDescent="0.2">
      <c r="E267" s="130" t="s">
        <v>567</v>
      </c>
      <c r="F267" s="82" t="s">
        <v>807</v>
      </c>
      <c r="G267" s="512" t="s">
        <v>808</v>
      </c>
      <c r="H267" s="513"/>
      <c r="I267" s="513"/>
      <c r="J267" s="513"/>
      <c r="K267" s="513"/>
      <c r="L267" s="104">
        <f ca="1">SUMPRODUCT(SUBTOTAL(3,OFFSET(BV$6:BV$202,ROW(BV$6:BV$202)-MIN(ROW(BV$6:BV$202)),,1)),ISNUMBER(SEARCH("1",BV$6:BV$202))+0)</f>
        <v>1</v>
      </c>
      <c r="M267" s="104"/>
      <c r="N267" s="108"/>
      <c r="O267" s="495"/>
      <c r="P267" s="495"/>
      <c r="T267" s="495"/>
      <c r="U267" s="495"/>
      <c r="V267" s="495"/>
      <c r="W267" s="495"/>
      <c r="X267" s="495"/>
      <c r="Y267" s="495"/>
      <c r="DD267" s="31"/>
    </row>
    <row r="268" spans="5:108" ht="33" customHeight="1" x14ac:dyDescent="0.2">
      <c r="E268" s="130" t="s">
        <v>568</v>
      </c>
      <c r="F268" s="82" t="s">
        <v>614</v>
      </c>
      <c r="G268" s="512" t="s">
        <v>297</v>
      </c>
      <c r="H268" s="513"/>
      <c r="I268" s="513"/>
      <c r="J268" s="513"/>
      <c r="K268" s="513"/>
      <c r="L268" s="104">
        <f ca="1">SUMPRODUCT(SUBTOTAL(3,OFFSET(BW$6:BW$202,ROW(BW$6:BW$202)-MIN(ROW(BW$6:BW$202)),,1)),ISNUMBER(SEARCH("1",BW$6:BW$202))+0)</f>
        <v>1</v>
      </c>
      <c r="M268" s="104"/>
      <c r="N268" s="108"/>
      <c r="O268" s="495"/>
      <c r="P268" s="495"/>
      <c r="T268" s="495"/>
      <c r="U268" s="495"/>
      <c r="V268" s="495"/>
      <c r="W268" s="495"/>
      <c r="X268" s="495"/>
      <c r="Y268" s="495"/>
      <c r="DD268" s="31"/>
    </row>
    <row r="269" spans="5:108" ht="33" customHeight="1" x14ac:dyDescent="0.2">
      <c r="G269" s="514" t="s">
        <v>241</v>
      </c>
      <c r="H269" s="515"/>
      <c r="I269" s="515"/>
      <c r="J269" s="515"/>
      <c r="K269" s="515"/>
      <c r="L269" s="104">
        <f ca="1">SUMPRODUCT(SUBTOTAL(3,OFFSET(BX$6:BX$202,ROW(BX$6:BX$202)-MIN(ROW(BX$6:BX$202)),,1)),ISNUMBER(SEARCH("1",BX$6:BX$202))+0)</f>
        <v>24</v>
      </c>
      <c r="M269" s="104"/>
      <c r="N269" s="108"/>
      <c r="O269" s="495"/>
      <c r="P269" s="495"/>
      <c r="T269" s="495"/>
      <c r="U269" s="495"/>
      <c r="V269" s="495"/>
      <c r="W269" s="495"/>
      <c r="X269" s="495"/>
      <c r="Y269" s="495"/>
      <c r="DD269" s="31"/>
    </row>
    <row r="270" spans="5:108" ht="33" customHeight="1" x14ac:dyDescent="0.2">
      <c r="E270" s="130" t="s">
        <v>569</v>
      </c>
      <c r="F270" s="82" t="s">
        <v>615</v>
      </c>
      <c r="G270" s="514" t="s">
        <v>332</v>
      </c>
      <c r="H270" s="515"/>
      <c r="I270" s="515"/>
      <c r="J270" s="515"/>
      <c r="K270" s="515"/>
      <c r="L270" s="104">
        <f ca="1">SUMPRODUCT(SUBTOTAL(3,OFFSET(BY$6:BY$202,ROW(BY$6:BY$202)-MIN(ROW(BY$6:BY$202)),,1)),ISNUMBER(SEARCH("1",BY$6:BY$202))+0)</f>
        <v>23</v>
      </c>
      <c r="M270" s="104"/>
      <c r="N270" s="108"/>
      <c r="O270" s="495"/>
      <c r="P270" s="495"/>
      <c r="T270" s="495"/>
      <c r="U270" s="495"/>
      <c r="V270" s="495"/>
      <c r="W270" s="495"/>
      <c r="X270" s="495"/>
      <c r="Y270" s="495"/>
      <c r="DD270" s="31"/>
    </row>
    <row r="271" spans="5:108" ht="33" customHeight="1" x14ac:dyDescent="0.2">
      <c r="E271" s="130" t="s">
        <v>570</v>
      </c>
      <c r="F271" s="82" t="s">
        <v>616</v>
      </c>
      <c r="G271" s="514" t="s">
        <v>333</v>
      </c>
      <c r="H271" s="515"/>
      <c r="I271" s="515"/>
      <c r="J271" s="515"/>
      <c r="K271" s="515"/>
      <c r="L271" s="104">
        <f ca="1">SUMPRODUCT(SUBTOTAL(3,OFFSET(BZ$6:BZ$202,ROW(BZ$6:BZ$202)-MIN(ROW(BZ$6:BZ$202)),,1)),ISNUMBER(SEARCH("1",BZ$6:BZ$202))+0)</f>
        <v>11</v>
      </c>
      <c r="M271" s="104"/>
      <c r="N271" s="108"/>
      <c r="O271" s="495"/>
      <c r="P271" s="495"/>
      <c r="T271" s="495"/>
      <c r="U271" s="495"/>
      <c r="V271" s="495"/>
      <c r="W271" s="495"/>
      <c r="X271" s="495"/>
      <c r="Y271" s="495"/>
      <c r="DD271" s="31"/>
    </row>
    <row r="272" spans="5:108" ht="33" customHeight="1" x14ac:dyDescent="0.2">
      <c r="E272" s="130" t="s">
        <v>571</v>
      </c>
      <c r="F272" s="82" t="s">
        <v>617</v>
      </c>
      <c r="G272" s="514" t="s">
        <v>334</v>
      </c>
      <c r="H272" s="515"/>
      <c r="I272" s="515"/>
      <c r="J272" s="515"/>
      <c r="K272" s="515"/>
      <c r="L272" s="104">
        <f ca="1">SUMPRODUCT(SUBTOTAL(3,OFFSET(CA$6:CA$202,ROW(CA$6:CA$202)-MIN(ROW(CA$6:CA$202)),,1)),ISNUMBER(SEARCH("1",CA$6:CA$202))+0)</f>
        <v>4</v>
      </c>
      <c r="M272" s="104"/>
      <c r="N272" s="108"/>
      <c r="O272" s="495"/>
      <c r="P272" s="495"/>
      <c r="T272" s="495"/>
      <c r="U272" s="495"/>
      <c r="V272" s="495"/>
      <c r="W272" s="495"/>
      <c r="X272" s="495"/>
      <c r="Y272" s="495"/>
      <c r="DD272" s="31"/>
    </row>
    <row r="273" spans="5:108" ht="33" customHeight="1" x14ac:dyDescent="0.2">
      <c r="E273" s="130" t="s">
        <v>572</v>
      </c>
      <c r="F273" s="82" t="s">
        <v>823</v>
      </c>
      <c r="G273" s="514" t="s">
        <v>335</v>
      </c>
      <c r="H273" s="515"/>
      <c r="I273" s="515"/>
      <c r="J273" s="515"/>
      <c r="K273" s="515"/>
      <c r="L273" s="104">
        <f ca="1">SUMPRODUCT(SUBTOTAL(3,OFFSET(CB$6:CB$202,ROW(CB$6:CB$202)-MIN(ROW(CB$6:CB$202)),,1)),ISNUMBER(SEARCH("1",CB$6:CB$202))+0)</f>
        <v>2</v>
      </c>
      <c r="M273" s="104"/>
      <c r="N273" s="108"/>
      <c r="O273" s="495"/>
      <c r="P273" s="495"/>
      <c r="T273" s="495"/>
      <c r="U273" s="495"/>
      <c r="V273" s="495"/>
      <c r="W273" s="495"/>
      <c r="X273" s="495"/>
      <c r="Y273" s="495"/>
      <c r="DD273" s="31"/>
    </row>
    <row r="274" spans="5:108" ht="33" customHeight="1" x14ac:dyDescent="0.2">
      <c r="G274" s="516" t="s">
        <v>262</v>
      </c>
      <c r="H274" s="517"/>
      <c r="I274" s="517"/>
      <c r="J274" s="517"/>
      <c r="K274" s="517"/>
      <c r="L274" s="104">
        <f ca="1">SUMPRODUCT(SUBTOTAL(3,OFFSET(CC$6:CC$202,ROW(CC$6:CC$202)-MIN(ROW(CC$6:CC$202)),,1)),ISNUMBER(SEARCH("1",CC$6:CC$202))+0)</f>
        <v>10</v>
      </c>
      <c r="M274" s="104"/>
      <c r="N274" s="108"/>
      <c r="O274" s="495"/>
      <c r="P274" s="495"/>
      <c r="T274" s="495"/>
      <c r="U274" s="495"/>
      <c r="V274" s="495"/>
      <c r="W274" s="495"/>
      <c r="X274" s="495"/>
      <c r="Y274" s="495"/>
      <c r="DD274" s="31"/>
    </row>
    <row r="275" spans="5:108" ht="33" customHeight="1" x14ac:dyDescent="0.2">
      <c r="E275" s="130" t="s">
        <v>573</v>
      </c>
      <c r="F275" s="82" t="s">
        <v>618</v>
      </c>
      <c r="G275" s="516" t="s">
        <v>337</v>
      </c>
      <c r="H275" s="517"/>
      <c r="I275" s="517"/>
      <c r="J275" s="517"/>
      <c r="K275" s="517"/>
      <c r="L275" s="104">
        <f ca="1">SUMPRODUCT(SUBTOTAL(3,OFFSET(CD$6:CD$202,ROW(CD$6:CD$202)-MIN(ROW(CD$6:CD$202)),,1)),ISNUMBER(SEARCH("1",CD$6:CD$202))+0)</f>
        <v>10</v>
      </c>
      <c r="M275" s="104"/>
      <c r="N275" s="108"/>
      <c r="O275" s="495"/>
      <c r="P275" s="495"/>
      <c r="T275" s="495"/>
      <c r="U275" s="495"/>
      <c r="V275" s="495"/>
      <c r="W275" s="495"/>
      <c r="X275" s="495"/>
      <c r="Y275" s="495"/>
      <c r="DD275" s="31"/>
    </row>
    <row r="276" spans="5:108" ht="33" customHeight="1" x14ac:dyDescent="0.2">
      <c r="E276" s="130" t="s">
        <v>574</v>
      </c>
      <c r="F276" s="82" t="s">
        <v>619</v>
      </c>
      <c r="G276" s="516" t="s">
        <v>338</v>
      </c>
      <c r="H276" s="517"/>
      <c r="I276" s="517"/>
      <c r="J276" s="517"/>
      <c r="K276" s="517"/>
      <c r="L276" s="104">
        <f ca="1">SUMPRODUCT(SUBTOTAL(3,OFFSET(CE$6:CE$202,ROW(CE$6:CE$202)-MIN(ROW(CE$6:CE$202)),,1)),ISNUMBER(SEARCH("1",CE$6:CE$202))+0)</f>
        <v>0</v>
      </c>
      <c r="M276" s="104"/>
      <c r="N276" s="108"/>
      <c r="O276" s="495"/>
      <c r="P276" s="495"/>
      <c r="T276" s="495"/>
      <c r="U276" s="495"/>
      <c r="V276" s="495"/>
      <c r="W276" s="495"/>
      <c r="X276" s="495"/>
      <c r="Y276" s="495"/>
      <c r="DD276" s="31"/>
    </row>
    <row r="277" spans="5:108" ht="33" customHeight="1" x14ac:dyDescent="0.2">
      <c r="E277" s="130" t="s">
        <v>575</v>
      </c>
      <c r="F277" s="82" t="s">
        <v>620</v>
      </c>
      <c r="G277" s="516" t="s">
        <v>339</v>
      </c>
      <c r="H277" s="517"/>
      <c r="I277" s="517"/>
      <c r="J277" s="517"/>
      <c r="K277" s="517"/>
      <c r="L277" s="104">
        <f ca="1">SUMPRODUCT(SUBTOTAL(3,OFFSET(CF$6:CF$202,ROW(CF$6:CF$202)-MIN(ROW(CF$6:CF$202)),,1)),ISNUMBER(SEARCH("1",CF$6:CF$202))+0)</f>
        <v>0</v>
      </c>
      <c r="M277" s="104"/>
      <c r="N277" s="108"/>
      <c r="O277" s="495"/>
      <c r="P277" s="495"/>
      <c r="T277" s="495"/>
      <c r="U277" s="495"/>
      <c r="V277" s="495"/>
      <c r="W277" s="495"/>
      <c r="X277" s="495"/>
      <c r="Y277" s="495"/>
      <c r="DD277" s="31"/>
    </row>
    <row r="278" spans="5:108" ht="33" customHeight="1" x14ac:dyDescent="0.2">
      <c r="E278" s="130" t="s">
        <v>576</v>
      </c>
      <c r="F278" s="82" t="s">
        <v>621</v>
      </c>
      <c r="G278" s="516" t="s">
        <v>340</v>
      </c>
      <c r="H278" s="517"/>
      <c r="I278" s="517"/>
      <c r="J278" s="517"/>
      <c r="K278" s="517"/>
      <c r="L278" s="104">
        <f ca="1">SUMPRODUCT(SUBTOTAL(3,OFFSET(CG$6:CG$202,ROW(CG$6:CG$202)-MIN(ROW(CG$6:CG$202)),,1)),ISNUMBER(SEARCH("1",CG$6:CG$202))+0)</f>
        <v>0</v>
      </c>
      <c r="M278" s="104"/>
      <c r="N278" s="108"/>
      <c r="O278" s="495"/>
      <c r="P278" s="495"/>
      <c r="T278" s="495"/>
      <c r="U278" s="495"/>
      <c r="V278" s="495"/>
      <c r="W278" s="495"/>
      <c r="X278" s="495"/>
      <c r="Y278" s="495"/>
      <c r="DD278" s="31"/>
    </row>
    <row r="279" spans="5:108" ht="33" customHeight="1" x14ac:dyDescent="0.2">
      <c r="E279" s="130" t="s">
        <v>577</v>
      </c>
      <c r="F279" s="82" t="s">
        <v>624</v>
      </c>
      <c r="G279" s="518" t="s">
        <v>266</v>
      </c>
      <c r="H279" s="519"/>
      <c r="I279" s="519"/>
      <c r="J279" s="519"/>
      <c r="K279" s="519"/>
      <c r="L279" s="104">
        <f ca="1">SUMPRODUCT(SUBTOTAL(3,OFFSET(CH$6:CH$202,ROW(CH$6:CH$202)-MIN(ROW(CH$6:CH$202)),,1)),ISNUMBER(SEARCH("1",CH$6:CH$202))+0)</f>
        <v>4</v>
      </c>
      <c r="M279" s="104"/>
      <c r="N279" s="108"/>
      <c r="O279" s="495"/>
      <c r="P279" s="495"/>
      <c r="T279" s="495"/>
      <c r="U279" s="495"/>
      <c r="V279" s="495"/>
      <c r="W279" s="495"/>
      <c r="X279" s="495"/>
      <c r="Y279" s="495"/>
      <c r="DD279" s="31"/>
    </row>
    <row r="280" spans="5:108" ht="33" customHeight="1" x14ac:dyDescent="0.2">
      <c r="E280" s="130" t="s">
        <v>578</v>
      </c>
      <c r="F280" s="82" t="s">
        <v>625</v>
      </c>
      <c r="G280" s="6" t="s">
        <v>265</v>
      </c>
      <c r="H280" s="29"/>
      <c r="I280" s="29"/>
      <c r="J280" s="29"/>
      <c r="K280" s="29"/>
      <c r="L280" s="104">
        <f ca="1">SUMPRODUCT(SUBTOTAL(3,OFFSET(CI$6:CI$202,ROW(CI$6:CI$202)-MIN(ROW(CI$6:CI$202)),,1)),ISNUMBER(SEARCH("1",CI$6:CI$202))+0)</f>
        <v>1</v>
      </c>
      <c r="M280" s="104"/>
      <c r="N280" s="108"/>
      <c r="O280" s="495"/>
      <c r="P280" s="495"/>
      <c r="T280" s="495"/>
      <c r="U280" s="495"/>
      <c r="V280" s="495"/>
      <c r="W280" s="495"/>
      <c r="X280" s="495"/>
      <c r="Y280" s="495"/>
      <c r="DD280" s="31"/>
    </row>
    <row r="281" spans="5:108" ht="33" customHeight="1" x14ac:dyDescent="0.2">
      <c r="E281" s="130" t="s">
        <v>579</v>
      </c>
      <c r="F281" s="82" t="s">
        <v>626</v>
      </c>
      <c r="G281" s="6" t="s">
        <v>264</v>
      </c>
      <c r="H281" s="29"/>
      <c r="I281" s="29"/>
      <c r="J281" s="29"/>
      <c r="K281" s="29"/>
      <c r="L281" s="104">
        <f ca="1">SUMPRODUCT(SUBTOTAL(3,OFFSET(CJ$6:CJ$202,ROW(CJ$6:CJ$202)-MIN(ROW(CJ$6:CJ$202)),,1)),ISNUMBER(SEARCH("1",CJ$6:CJ$202))+0)</f>
        <v>0</v>
      </c>
      <c r="M281" s="104"/>
      <c r="N281" s="108"/>
      <c r="O281" s="495"/>
      <c r="P281" s="495"/>
      <c r="T281" s="495"/>
      <c r="U281" s="495"/>
      <c r="V281" s="495"/>
      <c r="W281" s="495"/>
      <c r="X281" s="495"/>
      <c r="Y281" s="495"/>
      <c r="DD281" s="31"/>
    </row>
    <row r="282" spans="5:108" ht="33" customHeight="1" x14ac:dyDescent="0.2">
      <c r="G282" s="520" t="s">
        <v>319</v>
      </c>
      <c r="H282" s="521"/>
      <c r="I282" s="521"/>
      <c r="J282" s="521"/>
      <c r="K282" s="521"/>
      <c r="L282" s="104">
        <f ca="1">SUMPRODUCT(SUBTOTAL(3,OFFSET(CK$6:CK$202,ROW(CK$6:CK$202)-MIN(ROW(CK$6:CK$202)),,1)),ISNUMBER(SEARCH("1",CK$6:CK$202))+0)</f>
        <v>7</v>
      </c>
      <c r="M282" s="104"/>
      <c r="N282" s="108"/>
      <c r="O282" s="495"/>
      <c r="P282" s="495"/>
      <c r="T282" s="495"/>
      <c r="U282" s="495"/>
      <c r="V282" s="495"/>
      <c r="W282" s="495"/>
      <c r="X282" s="495"/>
      <c r="Y282" s="495"/>
      <c r="DD282" s="31"/>
    </row>
    <row r="283" spans="5:108" ht="33" customHeight="1" x14ac:dyDescent="0.2">
      <c r="E283" s="130" t="s">
        <v>580</v>
      </c>
      <c r="F283" s="82" t="s">
        <v>632</v>
      </c>
      <c r="G283" s="520" t="s">
        <v>301</v>
      </c>
      <c r="H283" s="521"/>
      <c r="I283" s="521"/>
      <c r="J283" s="521"/>
      <c r="K283" s="521"/>
      <c r="L283" s="104">
        <f ca="1">SUMPRODUCT(SUBTOTAL(3,OFFSET(CL$6:CL$202,ROW(CL$6:CL$202)-MIN(ROW(CL$6:CL$202)),,1)),ISNUMBER(SEARCH("1",CL$6:CL$202))+0)</f>
        <v>7</v>
      </c>
      <c r="M283" s="104"/>
      <c r="N283" s="108"/>
      <c r="O283" s="495"/>
      <c r="P283" s="495"/>
      <c r="T283" s="495"/>
      <c r="U283" s="495"/>
      <c r="V283" s="495"/>
      <c r="W283" s="495"/>
      <c r="X283" s="495"/>
      <c r="Y283" s="495"/>
      <c r="DD283" s="31"/>
    </row>
    <row r="284" spans="5:108" ht="33" customHeight="1" x14ac:dyDescent="0.2">
      <c r="E284" s="130" t="s">
        <v>581</v>
      </c>
      <c r="F284" s="82" t="s">
        <v>633</v>
      </c>
      <c r="G284" s="520" t="s">
        <v>302</v>
      </c>
      <c r="H284" s="521"/>
      <c r="I284" s="521"/>
      <c r="J284" s="521"/>
      <c r="K284" s="521"/>
      <c r="L284" s="104">
        <f ca="1">SUMPRODUCT(SUBTOTAL(3,OFFSET(CM$6:CM$202,ROW(CM$6:CM$202)-MIN(ROW(CM$6:CM$202)),,1)),ISNUMBER(SEARCH("1",CM$6:CM$202))+0)</f>
        <v>1</v>
      </c>
      <c r="M284" s="104"/>
      <c r="N284" s="108"/>
      <c r="O284" s="495"/>
      <c r="P284" s="495"/>
      <c r="T284" s="495"/>
      <c r="U284" s="495"/>
      <c r="V284" s="495"/>
      <c r="W284" s="495"/>
      <c r="X284" s="495"/>
      <c r="Y284" s="495"/>
      <c r="DD284" s="31"/>
    </row>
    <row r="285" spans="5:108" ht="33" customHeight="1" x14ac:dyDescent="0.2">
      <c r="E285" s="130" t="s">
        <v>582</v>
      </c>
      <c r="F285" s="82" t="s">
        <v>824</v>
      </c>
      <c r="G285" s="520" t="s">
        <v>303</v>
      </c>
      <c r="H285" s="521"/>
      <c r="I285" s="521"/>
      <c r="J285" s="521"/>
      <c r="K285" s="521"/>
      <c r="L285" s="104">
        <f ca="1">SUMPRODUCT(SUBTOTAL(3,OFFSET(CN$6:CN$202,ROW(CN$6:CN$202)-MIN(ROW(CN$6:CN$202)),,1)),ISNUMBER(SEARCH("1",CN$6:CN$202))+0)</f>
        <v>2</v>
      </c>
      <c r="M285" s="104"/>
      <c r="N285" s="108"/>
      <c r="O285" s="495"/>
      <c r="P285" s="495"/>
      <c r="T285" s="495"/>
      <c r="U285" s="495"/>
      <c r="V285" s="495"/>
      <c r="W285" s="495"/>
      <c r="X285" s="495"/>
      <c r="Y285" s="495"/>
      <c r="DD285" s="31"/>
    </row>
    <row r="286" spans="5:108" ht="33" customHeight="1" x14ac:dyDescent="0.2">
      <c r="E286" s="130" t="s">
        <v>583</v>
      </c>
      <c r="F286" s="82" t="s">
        <v>825</v>
      </c>
      <c r="G286" s="520" t="s">
        <v>304</v>
      </c>
      <c r="H286" s="521"/>
      <c r="I286" s="521"/>
      <c r="J286" s="521"/>
      <c r="K286" s="521"/>
      <c r="L286" s="104">
        <f ca="1">SUMPRODUCT(SUBTOTAL(3,OFFSET(CO$6:CO$202,ROW(CO$6:CO$202)-MIN(ROW(CO$6:CO$202)),,1)),ISNUMBER(SEARCH("1",CO$6:CO$202))+0)</f>
        <v>0</v>
      </c>
      <c r="M286" s="104"/>
      <c r="N286" s="108"/>
      <c r="O286" s="495"/>
      <c r="P286" s="495"/>
      <c r="T286" s="495"/>
      <c r="U286" s="495"/>
      <c r="V286" s="495"/>
      <c r="W286" s="495"/>
      <c r="X286" s="495"/>
      <c r="Y286" s="495"/>
      <c r="DD286" s="31"/>
    </row>
    <row r="287" spans="5:108" ht="33" customHeight="1" x14ac:dyDescent="0.2">
      <c r="E287" s="130" t="s">
        <v>584</v>
      </c>
      <c r="F287" s="82" t="s">
        <v>627</v>
      </c>
      <c r="G287" s="522" t="s">
        <v>267</v>
      </c>
      <c r="H287" s="523"/>
      <c r="I287" s="523"/>
      <c r="J287" s="523"/>
      <c r="K287" s="523"/>
      <c r="L287" s="104">
        <f ca="1">SUMPRODUCT(SUBTOTAL(3,OFFSET(CP$6:CP$202,ROW(CP$6:CP$202)-MIN(ROW(CP$6:CP$202)),,1)),ISNUMBER(SEARCH("1",CP$6:CP$202))+0)</f>
        <v>12</v>
      </c>
      <c r="M287" s="104"/>
      <c r="N287" s="108"/>
      <c r="O287" s="495"/>
      <c r="P287" s="495"/>
      <c r="T287" s="495"/>
      <c r="U287" s="495"/>
      <c r="V287" s="495"/>
      <c r="W287" s="495"/>
      <c r="X287" s="495"/>
      <c r="Y287" s="495"/>
      <c r="DD287" s="31"/>
    </row>
    <row r="288" spans="5:108" ht="33" customHeight="1" x14ac:dyDescent="0.2">
      <c r="G288" s="522" t="s">
        <v>316</v>
      </c>
      <c r="H288" s="523"/>
      <c r="I288" s="523"/>
      <c r="J288" s="523"/>
      <c r="K288" s="523"/>
      <c r="L288" s="104">
        <f ca="1">SUMPRODUCT(SUBTOTAL(3,OFFSET(CQ$6:CQ$202,ROW(CQ$6:CQ$202)-MIN(ROW(CQ$6:CQ$202)),,1)),ISNUMBER(SEARCH("1",CQ$6:CQ$202))+0)</f>
        <v>11</v>
      </c>
      <c r="M288" s="104"/>
      <c r="N288" s="108"/>
      <c r="O288" s="495"/>
      <c r="P288" s="495"/>
      <c r="T288" s="495"/>
      <c r="U288" s="495"/>
      <c r="V288" s="495"/>
      <c r="W288" s="495"/>
      <c r="X288" s="495"/>
      <c r="Y288" s="495"/>
      <c r="DD288" s="31"/>
    </row>
    <row r="289" spans="5:108" ht="33" customHeight="1" x14ac:dyDescent="0.2">
      <c r="E289" s="130" t="s">
        <v>1079</v>
      </c>
      <c r="F289" s="82" t="s">
        <v>1082</v>
      </c>
      <c r="G289" s="522" t="s">
        <v>305</v>
      </c>
      <c r="H289" s="523"/>
      <c r="I289" s="523"/>
      <c r="J289" s="523"/>
      <c r="K289" s="523"/>
      <c r="L289" s="104">
        <f ca="1">SUMPRODUCT(SUBTOTAL(3,OFFSET(CR$6:CR$202,ROW(CR$6:CR$202)-MIN(ROW(CR$6:CR$202)),,1)),ISNUMBER(SEARCH("1",CR$6:CR$202))+0)</f>
        <v>11</v>
      </c>
      <c r="M289" s="104"/>
      <c r="N289" s="108"/>
      <c r="O289" s="495"/>
      <c r="P289" s="495"/>
      <c r="T289" s="495"/>
      <c r="U289" s="495"/>
      <c r="V289" s="495"/>
      <c r="W289" s="495"/>
      <c r="X289" s="495"/>
      <c r="Y289" s="495"/>
      <c r="DD289" s="31"/>
    </row>
    <row r="290" spans="5:108" ht="33" customHeight="1" x14ac:dyDescent="0.2">
      <c r="E290" s="130" t="s">
        <v>585</v>
      </c>
      <c r="F290" s="82" t="s">
        <v>628</v>
      </c>
      <c r="G290" s="522" t="s">
        <v>306</v>
      </c>
      <c r="H290" s="523"/>
      <c r="I290" s="523"/>
      <c r="J290" s="523"/>
      <c r="K290" s="523"/>
      <c r="L290" s="104">
        <f ca="1">SUMPRODUCT(SUBTOTAL(3,OFFSET(CS$6:CS$202,ROW(CS$6:CS$202)-MIN(ROW(CS$6:CS$202)),,1)),ISNUMBER(SEARCH("1",CS$6:CS$202))+0)</f>
        <v>4</v>
      </c>
      <c r="M290" s="104"/>
      <c r="N290" s="108"/>
      <c r="O290" s="495"/>
      <c r="P290" s="495"/>
      <c r="T290" s="495"/>
      <c r="U290" s="495"/>
      <c r="V290" s="495"/>
      <c r="W290" s="495"/>
      <c r="X290" s="495"/>
      <c r="Y290" s="495"/>
      <c r="DD290" s="31"/>
    </row>
    <row r="291" spans="5:108" ht="33" customHeight="1" x14ac:dyDescent="0.2">
      <c r="E291" s="130" t="s">
        <v>1080</v>
      </c>
      <c r="F291" s="82" t="s">
        <v>1083</v>
      </c>
      <c r="G291" s="522" t="s">
        <v>307</v>
      </c>
      <c r="H291" s="523"/>
      <c r="I291" s="523"/>
      <c r="J291" s="523"/>
      <c r="K291" s="523"/>
      <c r="L291" s="104">
        <f ca="1">SUMPRODUCT(SUBTOTAL(3,OFFSET(CT$6:CT$202,ROW(CT$6:CT$202)-MIN(ROW(CT$6:CT$202)),,1)),ISNUMBER(SEARCH("1",CT$6:CT$202))+0)</f>
        <v>10</v>
      </c>
      <c r="M291" s="104"/>
      <c r="N291" s="108"/>
      <c r="O291" s="495"/>
      <c r="P291" s="495"/>
      <c r="T291" s="495"/>
      <c r="U291" s="495"/>
      <c r="V291" s="495"/>
      <c r="W291" s="495"/>
      <c r="X291" s="495"/>
      <c r="Y291" s="495"/>
      <c r="DD291" s="31"/>
    </row>
    <row r="292" spans="5:108" ht="33" customHeight="1" x14ac:dyDescent="0.2">
      <c r="E292" s="130" t="s">
        <v>1081</v>
      </c>
      <c r="F292" s="82" t="s">
        <v>1084</v>
      </c>
      <c r="G292" s="522" t="s">
        <v>351</v>
      </c>
      <c r="H292" s="523"/>
      <c r="I292" s="523"/>
      <c r="J292" s="523"/>
      <c r="K292" s="523"/>
      <c r="L292" s="104">
        <f ca="1">SUMPRODUCT(SUBTOTAL(3,OFFSET(CU$6:CU$202,ROW(CU$6:CU$202)-MIN(ROW(CU$6:CU$202)),,1)),ISNUMBER(SEARCH("1",CU$6:CU$202))+0)</f>
        <v>0</v>
      </c>
      <c r="M292" s="104"/>
      <c r="N292" s="108"/>
      <c r="O292" s="495"/>
      <c r="P292" s="495"/>
      <c r="T292" s="495"/>
      <c r="U292" s="495"/>
      <c r="V292" s="495"/>
      <c r="W292" s="495"/>
      <c r="X292" s="495"/>
      <c r="Y292" s="495"/>
      <c r="DD292" s="31"/>
    </row>
    <row r="293" spans="5:108" ht="33" customHeight="1" x14ac:dyDescent="0.2">
      <c r="E293" s="130" t="s">
        <v>586</v>
      </c>
      <c r="F293" s="82" t="s">
        <v>1085</v>
      </c>
      <c r="G293" s="522" t="s">
        <v>268</v>
      </c>
      <c r="H293" s="523"/>
      <c r="I293" s="523"/>
      <c r="J293" s="523"/>
      <c r="K293" s="523"/>
      <c r="L293" s="104">
        <f ca="1">SUMPRODUCT(SUBTOTAL(3,OFFSET(CV$6:CV$202,ROW(CV$6:CV$202)-MIN(ROW(CV$6:CV$202)),,1)),ISNUMBER(SEARCH("1",CV$6:CV$202))+0)</f>
        <v>14</v>
      </c>
      <c r="M293" s="104"/>
      <c r="N293" s="108"/>
      <c r="O293" s="495"/>
      <c r="P293" s="495"/>
      <c r="T293" s="495"/>
      <c r="U293" s="495"/>
      <c r="V293" s="495"/>
      <c r="W293" s="495"/>
      <c r="X293" s="495"/>
      <c r="Y293" s="495"/>
      <c r="DD293" s="31"/>
    </row>
    <row r="294" spans="5:108" ht="33" customHeight="1" x14ac:dyDescent="0.2">
      <c r="G294" s="85" t="s">
        <v>677</v>
      </c>
      <c r="H294" s="86"/>
      <c r="I294" s="86"/>
      <c r="J294" s="86"/>
      <c r="K294" s="86"/>
      <c r="L294" s="104">
        <f ca="1">SUMPRODUCT(SUBTOTAL(3,OFFSET(CW$6:CW$202,ROW(CW$6:CW$202)-MIN(ROW(CW$6:CW$202)),,1)),ISNUMBER(SEARCH("1",CW$6:CW$202))+0)</f>
        <v>2</v>
      </c>
      <c r="M294" s="104"/>
      <c r="N294" s="108"/>
      <c r="O294" s="495"/>
      <c r="P294" s="495"/>
      <c r="T294" s="495"/>
      <c r="U294" s="495"/>
      <c r="V294" s="495"/>
      <c r="W294" s="495"/>
      <c r="X294" s="495"/>
      <c r="Y294" s="495"/>
      <c r="DD294" s="31"/>
    </row>
    <row r="295" spans="5:108" ht="33" customHeight="1" x14ac:dyDescent="0.2">
      <c r="E295" s="130" t="s">
        <v>587</v>
      </c>
      <c r="F295" s="82" t="s">
        <v>629</v>
      </c>
      <c r="G295" s="85" t="s">
        <v>308</v>
      </c>
      <c r="H295" s="86"/>
      <c r="I295" s="86"/>
      <c r="J295" s="86"/>
      <c r="K295" s="86"/>
      <c r="L295" s="104">
        <f ca="1">SUMPRODUCT(SUBTOTAL(3,OFFSET(CX$6:CX$202,ROW(CX$6:CX$202)-MIN(ROW(CX$6:CX$202)),,1)),ISNUMBER(SEARCH("1",CX$6:CX$202))+0)</f>
        <v>2</v>
      </c>
      <c r="M295" s="104"/>
      <c r="N295" s="108"/>
      <c r="O295" s="495"/>
      <c r="P295" s="495"/>
      <c r="T295" s="495"/>
      <c r="U295" s="495"/>
      <c r="V295" s="495"/>
      <c r="W295" s="495"/>
      <c r="X295" s="495"/>
      <c r="Y295" s="495"/>
      <c r="DD295" s="31"/>
    </row>
    <row r="296" spans="5:108" ht="33" customHeight="1" x14ac:dyDescent="0.2">
      <c r="E296" s="130" t="s">
        <v>588</v>
      </c>
      <c r="F296" s="82" t="s">
        <v>630</v>
      </c>
      <c r="G296" s="85" t="s">
        <v>309</v>
      </c>
      <c r="H296" s="86"/>
      <c r="I296" s="86"/>
      <c r="J296" s="86"/>
      <c r="K296" s="86"/>
      <c r="L296" s="104">
        <f ca="1">SUMPRODUCT(SUBTOTAL(3,OFFSET(CY$6:CY$202,ROW(CY$6:CY$202)-MIN(ROW(CY$6:CY$202)),,1)),ISNUMBER(SEARCH("1",CY$6:CY$202))+0)</f>
        <v>0</v>
      </c>
      <c r="M296" s="104"/>
      <c r="N296" s="108"/>
      <c r="O296" s="495"/>
      <c r="P296" s="495"/>
      <c r="T296" s="495"/>
      <c r="U296" s="495"/>
      <c r="V296" s="495"/>
      <c r="W296" s="495"/>
      <c r="X296" s="495"/>
      <c r="Y296" s="495"/>
      <c r="DD296" s="31"/>
    </row>
    <row r="297" spans="5:108" ht="33" customHeight="1" x14ac:dyDescent="0.2">
      <c r="E297" s="130" t="s">
        <v>589</v>
      </c>
      <c r="F297" s="82" t="s">
        <v>631</v>
      </c>
      <c r="G297" s="85" t="s">
        <v>310</v>
      </c>
      <c r="H297" s="86"/>
      <c r="I297" s="86"/>
      <c r="J297" s="86"/>
      <c r="K297" s="86"/>
      <c r="L297" s="104">
        <f ca="1">SUMPRODUCT(SUBTOTAL(3,OFFSET(CZ$6:CZ$202,ROW(CZ$6:CZ$202)-MIN(ROW(CZ$6:CZ$202)),,1)),ISNUMBER(SEARCH("1",CZ$6:CZ$202))+0)</f>
        <v>1</v>
      </c>
      <c r="M297" s="104"/>
      <c r="N297" s="108"/>
      <c r="O297" s="495"/>
      <c r="P297" s="495"/>
      <c r="T297" s="495"/>
      <c r="U297" s="495"/>
      <c r="V297" s="495"/>
      <c r="W297" s="495"/>
      <c r="X297" s="495"/>
      <c r="Y297" s="495"/>
      <c r="DD297" s="31"/>
    </row>
    <row r="298" spans="5:108" ht="33" customHeight="1" x14ac:dyDescent="0.2">
      <c r="F298" s="87"/>
      <c r="G298" s="7" t="s">
        <v>269</v>
      </c>
      <c r="H298" s="30"/>
      <c r="I298" s="30"/>
      <c r="J298" s="30"/>
      <c r="K298" s="30"/>
      <c r="L298" s="104">
        <f ca="1">SUMPRODUCT(SUBTOTAL(3,OFFSET(DA$6:DA$202,ROW(DA$6:DA$202)-MIN(ROW(DA$6:DA$202)),,1)),ISNUMBER(SEARCH("1",DA$6:DA$202))+0)</f>
        <v>13</v>
      </c>
      <c r="M298" s="104"/>
      <c r="N298" s="108"/>
      <c r="O298" s="495"/>
      <c r="P298" s="495"/>
      <c r="T298" s="495"/>
      <c r="U298" s="495"/>
      <c r="V298" s="495"/>
      <c r="W298" s="495"/>
      <c r="X298" s="495"/>
      <c r="Y298" s="495"/>
      <c r="DD298" s="31"/>
    </row>
    <row r="299" spans="5:108" ht="33" customHeight="1" x14ac:dyDescent="0.2">
      <c r="G299" s="7" t="s">
        <v>270</v>
      </c>
      <c r="H299" s="30"/>
      <c r="I299" s="30"/>
      <c r="J299" s="30"/>
      <c r="K299" s="30"/>
      <c r="L299" s="104">
        <f ca="1">SUMPRODUCT(SUBTOTAL(3,OFFSET(DB$6:DB$202,ROW(DB$6:DB$202)-MIN(ROW(DB$6:DB$202)),,1)),ISNUMBER(SEARCH("1",DB$6:DB$202))+0)</f>
        <v>10</v>
      </c>
      <c r="M299" s="104"/>
      <c r="N299" s="108"/>
      <c r="O299" s="495"/>
      <c r="P299" s="495"/>
      <c r="T299" s="495"/>
      <c r="U299" s="495"/>
      <c r="V299" s="495"/>
      <c r="W299" s="495"/>
      <c r="X299" s="495"/>
      <c r="Y299" s="495"/>
      <c r="DD299" s="31"/>
    </row>
    <row r="300" spans="5:108" ht="33" customHeight="1" x14ac:dyDescent="0.2">
      <c r="G300" s="7" t="s">
        <v>271</v>
      </c>
      <c r="H300" s="30"/>
      <c r="I300" s="30"/>
      <c r="J300" s="30"/>
      <c r="K300" s="30"/>
      <c r="L300" s="104">
        <f ca="1">SUMPRODUCT(SUBTOTAL(3,OFFSET(DC$6:DC$202,ROW(DC$6:DC$202)-MIN(ROW(DC$6:DC$202)),,1)),ISNUMBER(SEARCH("1",DC$6:DC$202))+0)</f>
        <v>2</v>
      </c>
      <c r="M300" s="104"/>
      <c r="N300" s="108"/>
      <c r="O300" s="495"/>
      <c r="P300" s="495"/>
      <c r="T300" s="495"/>
      <c r="U300" s="495"/>
      <c r="V300" s="495"/>
      <c r="W300" s="495"/>
      <c r="X300" s="495"/>
      <c r="Y300" s="495"/>
      <c r="DD300" s="31"/>
    </row>
    <row r="301" spans="5:108" ht="33" customHeight="1" x14ac:dyDescent="0.2">
      <c r="L301" s="105"/>
      <c r="M301" s="105"/>
      <c r="N301" s="109"/>
      <c r="O301" s="500"/>
      <c r="P301" s="500"/>
      <c r="T301" s="500"/>
      <c r="U301" s="500"/>
      <c r="V301" s="500"/>
      <c r="W301" s="500"/>
      <c r="X301" s="500"/>
      <c r="Y301" s="500"/>
      <c r="DD301" s="31"/>
    </row>
    <row r="302" spans="5:108" ht="33" customHeight="1" x14ac:dyDescent="0.2">
      <c r="L302" s="104"/>
      <c r="M302" s="104"/>
      <c r="N302" s="109"/>
      <c r="O302" s="500"/>
      <c r="P302" s="500"/>
      <c r="T302" s="500"/>
      <c r="U302" s="500"/>
      <c r="V302" s="500"/>
      <c r="W302" s="500"/>
      <c r="X302" s="500"/>
      <c r="Y302" s="500"/>
      <c r="DD302" s="31"/>
    </row>
    <row r="303" spans="5:108" ht="33" customHeight="1" x14ac:dyDescent="0.2">
      <c r="L303" s="105"/>
      <c r="M303" s="105"/>
      <c r="N303" s="109"/>
      <c r="O303" s="500"/>
      <c r="P303" s="500"/>
      <c r="T303" s="500"/>
      <c r="U303" s="500"/>
      <c r="V303" s="500"/>
      <c r="W303" s="500"/>
      <c r="X303" s="500"/>
      <c r="Y303" s="500"/>
      <c r="DD303" s="31"/>
    </row>
  </sheetData>
  <autoFilter ref="A5:FU203">
    <filterColumn colId="5">
      <filters>
        <filter val="(Present) Agadir Med"/>
        <filter val="(Present) Agadir Other"/>
        <filter val="Agadir Med"/>
      </filters>
    </filterColumn>
  </autoFilter>
  <mergeCells count="16">
    <mergeCell ref="DA3:DC3"/>
    <mergeCell ref="Z3:AZ3"/>
    <mergeCell ref="BA3:BW3"/>
    <mergeCell ref="BX3:CG3"/>
    <mergeCell ref="CH3:CV3"/>
    <mergeCell ref="CW3:CZ3"/>
    <mergeCell ref="CD4:CG4"/>
    <mergeCell ref="CH4:CJ4"/>
    <mergeCell ref="CK4:CO4"/>
    <mergeCell ref="CP4:CV4"/>
    <mergeCell ref="AA4:AG4"/>
    <mergeCell ref="AI4:AN4"/>
    <mergeCell ref="AP4:AZ4"/>
    <mergeCell ref="BA4:BF4"/>
    <mergeCell ref="BI4:BW4"/>
    <mergeCell ref="BX4:CB4"/>
  </mergeCells>
  <conditionalFormatting sqref="Z22:Z67 AH22:AH67 AO22:AO67 AV22:AV67 BX22:BX67 BT22:BT42 CC22:CC67 CH22:CK67 CP22:CQ67 CV22:CW67 CV91:CW202 CP91:CQ202 CH91:CK202 CC91:CC202 BT91:BT202 BX91:BX202 AV91:AV202 AO91:AO202 AH202 Z202 ER174:ER203 ET174:ET203 BA6:BF42 BP6:BQ42 BP54:BQ88 BA54:BF88 BT54:BT67 BA90:BF203 BP90:BQ203">
    <cfRule type="containsText" dxfId="91" priority="111" operator="containsText" text="1">
      <formula>NOT(ISERROR(SEARCH("1",Z6)))</formula>
    </cfRule>
    <cfRule type="containsText" dxfId="90" priority="112" operator="containsText" text="0">
      <formula>NOT(ISERROR(SEARCH("0",Z6)))</formula>
    </cfRule>
  </conditionalFormatting>
  <conditionalFormatting sqref="DE210:FA210 A210:DC210 FC210:XFD210">
    <cfRule type="colorScale" priority="113">
      <colorScale>
        <cfvo type="min"/>
        <cfvo type="percentile" val="50"/>
        <cfvo type="max"/>
        <color rgb="FFF8696B"/>
        <color rgb="FFFFEB84"/>
        <color rgb="FF63BE7B"/>
      </colorScale>
    </cfRule>
  </conditionalFormatting>
  <conditionalFormatting sqref="ER6:ER23">
    <cfRule type="containsText" dxfId="89" priority="108" operator="containsText" text="1">
      <formula>NOT(ISERROR(SEARCH("1",ER6)))</formula>
    </cfRule>
    <cfRule type="containsText" dxfId="88" priority="109" operator="containsText" text="0">
      <formula>NOT(ISERROR(SEARCH("0",ER6)))</formula>
    </cfRule>
  </conditionalFormatting>
  <conditionalFormatting sqref="ET6:ET23">
    <cfRule type="containsText" dxfId="87" priority="106" operator="containsText" text="1">
      <formula>NOT(ISERROR(SEARCH("1",ET6)))</formula>
    </cfRule>
    <cfRule type="containsText" dxfId="86" priority="107" operator="containsText" text="0">
      <formula>NOT(ISERROR(SEARCH("0",ET6)))</formula>
    </cfRule>
  </conditionalFormatting>
  <conditionalFormatting sqref="EU12:EV23">
    <cfRule type="iconSet" priority="110">
      <iconSet iconSet="3Symbols2">
        <cfvo type="percent" val="0"/>
        <cfvo type="num" val="0"/>
        <cfvo type="num" val="1"/>
      </iconSet>
    </cfRule>
  </conditionalFormatting>
  <conditionalFormatting sqref="DS100:DS104 DS52:DS90 DS186:DS202">
    <cfRule type="dataBar" priority="105">
      <dataBar showValue="0">
        <cfvo type="num" val="0"/>
        <cfvo type="num" val="1"/>
        <color theme="4" tint="-0.249977111117893"/>
      </dataBar>
      <extLst>
        <ext xmlns:x14="http://schemas.microsoft.com/office/spreadsheetml/2009/9/main" uri="{B025F937-C7B1-47D3-B67F-A62EFF666E3E}">
          <x14:id>{C604555F-DBC0-A749-88D4-8402A8CD75C7}</x14:id>
        </ext>
      </extLst>
    </cfRule>
  </conditionalFormatting>
  <conditionalFormatting sqref="DS163:DS184">
    <cfRule type="dataBar" priority="104">
      <dataBar showValue="0">
        <cfvo type="num" val="0"/>
        <cfvo type="num" val="1"/>
        <color theme="4" tint="-0.249977111117893"/>
      </dataBar>
      <extLst>
        <ext xmlns:x14="http://schemas.microsoft.com/office/spreadsheetml/2009/9/main" uri="{B025F937-C7B1-47D3-B67F-A62EFF666E3E}">
          <x14:id>{9D222443-B404-464D-B815-C787CD8A4EFE}</x14:id>
        </ext>
      </extLst>
    </cfRule>
  </conditionalFormatting>
  <conditionalFormatting sqref="DS22:DS51 DS140 DS157">
    <cfRule type="dataBar" priority="103">
      <dataBar showValue="0">
        <cfvo type="num" val="0"/>
        <cfvo type="num" val="1"/>
        <color theme="4" tint="-0.249977111117893"/>
      </dataBar>
      <extLst>
        <ext xmlns:x14="http://schemas.microsoft.com/office/spreadsheetml/2009/9/main" uri="{B025F937-C7B1-47D3-B67F-A62EFF666E3E}">
          <x14:id>{06D5DBF2-8A91-FE45-B7C7-AEDE2DF1C2CE}</x14:id>
        </ext>
      </extLst>
    </cfRule>
  </conditionalFormatting>
  <conditionalFormatting sqref="DS91:DS99">
    <cfRule type="dataBar" priority="102">
      <dataBar showValue="0">
        <cfvo type="num" val="0"/>
        <cfvo type="num" val="1"/>
        <color theme="4" tint="-0.249977111117893"/>
      </dataBar>
      <extLst>
        <ext xmlns:x14="http://schemas.microsoft.com/office/spreadsheetml/2009/9/main" uri="{B025F937-C7B1-47D3-B67F-A62EFF666E3E}">
          <x14:id>{243D6AAA-173B-2744-8F3F-710457F89D05}</x14:id>
        </ext>
      </extLst>
    </cfRule>
  </conditionalFormatting>
  <conditionalFormatting sqref="DS105:DS132">
    <cfRule type="dataBar" priority="101">
      <dataBar showValue="0">
        <cfvo type="num" val="0"/>
        <cfvo type="num" val="1"/>
        <color theme="4" tint="-0.249977111117893"/>
      </dataBar>
      <extLst>
        <ext xmlns:x14="http://schemas.microsoft.com/office/spreadsheetml/2009/9/main" uri="{B025F937-C7B1-47D3-B67F-A62EFF666E3E}">
          <x14:id>{4E706199-E1A6-A843-ADCE-48DE9B515AE8}</x14:id>
        </ext>
      </extLst>
    </cfRule>
  </conditionalFormatting>
  <conditionalFormatting sqref="DS133:DS139 DS141:DS156 DS158:DS162">
    <cfRule type="dataBar" priority="100">
      <dataBar showValue="0">
        <cfvo type="num" val="0"/>
        <cfvo type="num" val="1"/>
        <color theme="4" tint="-0.249977111117893"/>
      </dataBar>
      <extLst>
        <ext xmlns:x14="http://schemas.microsoft.com/office/spreadsheetml/2009/9/main" uri="{B025F937-C7B1-47D3-B67F-A62EFF666E3E}">
          <x14:id>{9CA8A2AE-48CF-1544-B106-D2D4D0910CE3}</x14:id>
        </ext>
      </extLst>
    </cfRule>
  </conditionalFormatting>
  <conditionalFormatting sqref="DT6:DT200 DT203">
    <cfRule type="dataBar" priority="99">
      <dataBar showValue="0">
        <cfvo type="num" val="0"/>
        <cfvo type="num" val="1"/>
        <color theme="5"/>
      </dataBar>
      <extLst>
        <ext xmlns:x14="http://schemas.microsoft.com/office/spreadsheetml/2009/9/main" uri="{B025F937-C7B1-47D3-B67F-A62EFF666E3E}">
          <x14:id>{A5964527-53E2-354B-B5F0-EB6D24D2018E}</x14:id>
        </ext>
      </extLst>
    </cfRule>
  </conditionalFormatting>
  <conditionalFormatting sqref="DU6:DU200 DU203">
    <cfRule type="dataBar" priority="98">
      <dataBar showValue="0">
        <cfvo type="num" val="0"/>
        <cfvo type="num" val="1"/>
        <color theme="9"/>
      </dataBar>
      <extLst>
        <ext xmlns:x14="http://schemas.microsoft.com/office/spreadsheetml/2009/9/main" uri="{B025F937-C7B1-47D3-B67F-A62EFF666E3E}">
          <x14:id>{7D747D48-E4E0-ED48-A4F5-9ADAED456B0F}</x14:id>
        </ext>
      </extLst>
    </cfRule>
  </conditionalFormatting>
  <conditionalFormatting sqref="DV31:DV200 DV203 DV6:DV29">
    <cfRule type="dataBar" priority="97">
      <dataBar showValue="0">
        <cfvo type="num" val="0"/>
        <cfvo type="num" val="1"/>
        <color rgb="FFDB2B51"/>
      </dataBar>
      <extLst>
        <ext xmlns:x14="http://schemas.microsoft.com/office/spreadsheetml/2009/9/main" uri="{B025F937-C7B1-47D3-B67F-A62EFF666E3E}">
          <x14:id>{158BC4D5-893E-F047-9021-83977B3EC4CD}</x14:id>
        </ext>
      </extLst>
    </cfRule>
  </conditionalFormatting>
  <conditionalFormatting sqref="DW6:DW200 DW203">
    <cfRule type="dataBar" priority="96">
      <dataBar showValue="0">
        <cfvo type="num" val="0"/>
        <cfvo type="num" val="1"/>
        <color theme="7"/>
      </dataBar>
      <extLst>
        <ext xmlns:x14="http://schemas.microsoft.com/office/spreadsheetml/2009/9/main" uri="{B025F937-C7B1-47D3-B67F-A62EFF666E3E}">
          <x14:id>{FF51B0EF-BE49-D246-B40C-2ED1D3F75118}</x14:id>
        </ext>
      </extLst>
    </cfRule>
  </conditionalFormatting>
  <conditionalFormatting sqref="DX91:DY200 DX50 DX6:DY49 DX203:DY203">
    <cfRule type="dataBar" priority="95">
      <dataBar showValue="0">
        <cfvo type="num" val="0"/>
        <cfvo type="num" val="1"/>
        <color theme="7" tint="0.39997558519241921"/>
      </dataBar>
      <extLst>
        <ext xmlns:x14="http://schemas.microsoft.com/office/spreadsheetml/2009/9/main" uri="{B025F937-C7B1-47D3-B67F-A62EFF666E3E}">
          <x14:id>{0E21D5D2-67F5-3A41-859E-0FF74C7E9E78}</x14:id>
        </ext>
      </extLst>
    </cfRule>
  </conditionalFormatting>
  <conditionalFormatting sqref="DV30">
    <cfRule type="dataBar" priority="94">
      <dataBar showValue="0">
        <cfvo type="num" val="0"/>
        <cfvo type="num" val="1"/>
        <color rgb="FFDB2B51"/>
      </dataBar>
      <extLst>
        <ext xmlns:x14="http://schemas.microsoft.com/office/spreadsheetml/2009/9/main" uri="{B025F937-C7B1-47D3-B67F-A62EFF666E3E}">
          <x14:id>{952284C6-4AB3-C040-9794-59ADDCE63F53}</x14:id>
        </ext>
      </extLst>
    </cfRule>
  </conditionalFormatting>
  <conditionalFormatting sqref="DX51:DY67 DX68:DX90">
    <cfRule type="dataBar" priority="93">
      <dataBar showValue="0">
        <cfvo type="num" val="0"/>
        <cfvo type="num" val="1"/>
        <color theme="7" tint="0.39997558519241921"/>
      </dataBar>
      <extLst>
        <ext xmlns:x14="http://schemas.microsoft.com/office/spreadsheetml/2009/9/main" uri="{B025F937-C7B1-47D3-B67F-A62EFF666E3E}">
          <x14:id>{1A0B3A9A-5413-C249-A49A-A058CF81D4CA}</x14:id>
        </ext>
      </extLst>
    </cfRule>
  </conditionalFormatting>
  <conditionalFormatting sqref="T257:Y257 O257:P257">
    <cfRule type="colorScale" priority="114">
      <colorScale>
        <cfvo type="min"/>
        <cfvo type="percentile" val="50"/>
        <cfvo type="max"/>
        <color rgb="FFF8696B"/>
        <color rgb="FFFFEB84"/>
        <color rgb="FF63BE7B"/>
      </colorScale>
    </cfRule>
  </conditionalFormatting>
  <conditionalFormatting sqref="T292:Y292 O292:P292">
    <cfRule type="colorScale" priority="115">
      <colorScale>
        <cfvo type="min"/>
        <cfvo type="percentile" val="50"/>
        <cfvo type="max"/>
        <color rgb="FFF8696B"/>
        <color rgb="FFFFEB84"/>
        <color rgb="FF63BE7B"/>
      </colorScale>
    </cfRule>
  </conditionalFormatting>
  <conditionalFormatting sqref="Z6:Z88 Z90:Z203">
    <cfRule type="containsText" dxfId="85" priority="91" operator="containsText" text="1">
      <formula>NOT(ISERROR(SEARCH("1",Z6)))</formula>
    </cfRule>
    <cfRule type="containsText" dxfId="84" priority="92" operator="containsText" text="0">
      <formula>NOT(ISERROR(SEARCH("0",Z6)))</formula>
    </cfRule>
  </conditionalFormatting>
  <conditionalFormatting sqref="AH6:AH88 AH90:AH203">
    <cfRule type="containsText" dxfId="83" priority="89" operator="containsText" text="1">
      <formula>NOT(ISERROR(SEARCH("1",AH6)))</formula>
    </cfRule>
    <cfRule type="containsText" dxfId="82" priority="90" operator="containsText" text="0">
      <formula>NOT(ISERROR(SEARCH("0",AH6)))</formula>
    </cfRule>
  </conditionalFormatting>
  <conditionalFormatting sqref="AO6:AO88 AO90:AO203">
    <cfRule type="containsText" dxfId="81" priority="87" operator="containsText" text="1">
      <formula>NOT(ISERROR(SEARCH("1",AO6)))</formula>
    </cfRule>
    <cfRule type="containsText" dxfId="80" priority="88" operator="containsText" text="0">
      <formula>NOT(ISERROR(SEARCH("0",AO6)))</formula>
    </cfRule>
  </conditionalFormatting>
  <conditionalFormatting sqref="AV6:AV88 AV90:AV203">
    <cfRule type="containsText" dxfId="79" priority="85" operator="containsText" text="1">
      <formula>NOT(ISERROR(SEARCH("1",AV6)))</formula>
    </cfRule>
    <cfRule type="containsText" dxfId="78" priority="86" operator="containsText" text="0">
      <formula>NOT(ISERROR(SEARCH("0",AV6)))</formula>
    </cfRule>
  </conditionalFormatting>
  <conditionalFormatting sqref="BA7:BF21">
    <cfRule type="containsText" dxfId="77" priority="83" operator="containsText" text="1">
      <formula>NOT(ISERROR(SEARCH("1",BA7)))</formula>
    </cfRule>
    <cfRule type="containsText" dxfId="76" priority="84" operator="containsText" text="0">
      <formula>NOT(ISERROR(SEARCH("0",BA7)))</formula>
    </cfRule>
  </conditionalFormatting>
  <conditionalFormatting sqref="BT6:BT42 BT54:BT88 BT90:BT203">
    <cfRule type="containsText" dxfId="75" priority="79" operator="containsText" text="1">
      <formula>NOT(ISERROR(SEARCH("1",BT6)))</formula>
    </cfRule>
    <cfRule type="containsText" dxfId="74" priority="80" operator="containsText" text="0">
      <formula>NOT(ISERROR(SEARCH("0",BT6)))</formula>
    </cfRule>
  </conditionalFormatting>
  <conditionalFormatting sqref="BP7:BP21">
    <cfRule type="containsText" dxfId="73" priority="81" operator="containsText" text="1">
      <formula>NOT(ISERROR(SEARCH("1",BP7)))</formula>
    </cfRule>
    <cfRule type="containsText" dxfId="72" priority="82" operator="containsText" text="0">
      <formula>NOT(ISERROR(SEARCH("0",BP7)))</formula>
    </cfRule>
  </conditionalFormatting>
  <conditionalFormatting sqref="BX6:BX88 BX90:BX203">
    <cfRule type="containsText" dxfId="71" priority="77" operator="containsText" text="1">
      <formula>NOT(ISERROR(SEARCH("1",BX6)))</formula>
    </cfRule>
    <cfRule type="containsText" dxfId="70" priority="78" operator="containsText" text="0">
      <formula>NOT(ISERROR(SEARCH("0",BX6)))</formula>
    </cfRule>
  </conditionalFormatting>
  <conditionalFormatting sqref="CC6:CC88 CC90:CC203">
    <cfRule type="containsText" dxfId="69" priority="75" operator="containsText" text="1">
      <formula>NOT(ISERROR(SEARCH("1",CC6)))</formula>
    </cfRule>
    <cfRule type="containsText" dxfId="68" priority="76" operator="containsText" text="0">
      <formula>NOT(ISERROR(SEARCH("0",CC6)))</formula>
    </cfRule>
  </conditionalFormatting>
  <conditionalFormatting sqref="CH6:CK88 CH90:CK203">
    <cfRule type="containsText" dxfId="67" priority="73" operator="containsText" text="1">
      <formula>NOT(ISERROR(SEARCH("1",CH6)))</formula>
    </cfRule>
    <cfRule type="containsText" dxfId="66" priority="74" operator="containsText" text="0">
      <formula>NOT(ISERROR(SEARCH("0",CH6)))</formula>
    </cfRule>
  </conditionalFormatting>
  <conditionalFormatting sqref="CP6:CQ88 CP90:CQ203">
    <cfRule type="containsText" dxfId="65" priority="71" operator="containsText" text="1">
      <formula>NOT(ISERROR(SEARCH("1",CP6)))</formula>
    </cfRule>
    <cfRule type="containsText" dxfId="64" priority="72" operator="containsText" text="0">
      <formula>NOT(ISERROR(SEARCH("0",CP6)))</formula>
    </cfRule>
  </conditionalFormatting>
  <conditionalFormatting sqref="CV6:CW88 CV90:CW203">
    <cfRule type="containsText" dxfId="63" priority="69" operator="containsText" text="1">
      <formula>NOT(ISERROR(SEARCH("1",CV6)))</formula>
    </cfRule>
    <cfRule type="containsText" dxfId="62" priority="70" operator="containsText" text="0">
      <formula>NOT(ISERROR(SEARCH("0",CV6)))</formula>
    </cfRule>
  </conditionalFormatting>
  <conditionalFormatting sqref="DS6:DS21 DS203">
    <cfRule type="dataBar" priority="68">
      <dataBar showValue="0">
        <cfvo type="num" val="0"/>
        <cfvo type="num" val="1"/>
        <color theme="4" tint="-0.249977111117893"/>
      </dataBar>
      <extLst>
        <ext xmlns:x14="http://schemas.microsoft.com/office/spreadsheetml/2009/9/main" uri="{B025F937-C7B1-47D3-B67F-A62EFF666E3E}">
          <x14:id>{1CB2C2E9-C538-0141-A4F8-61C1C48C03C7}</x14:id>
        </ext>
      </extLst>
    </cfRule>
  </conditionalFormatting>
  <conditionalFormatting sqref="AH68:AH69 AO68:AO88 AV68:AV88 BX68:BX88 BT68:BT88 CC68:CC88 CH68:CK88 CP68:CQ88 CV68:CW88 BP68:BP87 BB95:BB96 BB102 BB107 BB110:BB111 BB115 BB120:BB121 BB123:BB124 BB126 BB133 BB135 BB141 BB145:BB147 BB159 BB171 BA68:BF88 Z68:Z88 Z90:Z203 BA90:BF90 CV90:CW90 CP90:CQ90 CH90:CK90 CC90 BT90 BX90 AV90 AO90">
    <cfRule type="containsText" dxfId="61" priority="66" operator="containsText" text="1">
      <formula>NOT(ISERROR(SEARCH("1",Z68)))</formula>
    </cfRule>
    <cfRule type="containsText" dxfId="60" priority="67" operator="containsText" text="0">
      <formula>NOT(ISERROR(SEARCH("0",Z68)))</formula>
    </cfRule>
  </conditionalFormatting>
  <conditionalFormatting sqref="EH90 EH68:EH88">
    <cfRule type="iconSet" priority="65">
      <iconSet iconSet="3Symbols2">
        <cfvo type="percent" val="0"/>
        <cfvo type="num" val="0"/>
        <cfvo type="num" val="1"/>
      </iconSet>
    </cfRule>
  </conditionalFormatting>
  <conditionalFormatting sqref="DY68:DY88">
    <cfRule type="dataBar" priority="64">
      <dataBar showValue="0">
        <cfvo type="num" val="0"/>
        <cfvo type="num" val="1"/>
        <color theme="7" tint="0.39997558519241921"/>
      </dataBar>
      <extLst>
        <ext xmlns:x14="http://schemas.microsoft.com/office/spreadsheetml/2009/9/main" uri="{B025F937-C7B1-47D3-B67F-A62EFF666E3E}">
          <x14:id>{5A009EB5-0DB6-AA40-AC96-CE0B44FA8604}</x14:id>
        </ext>
      </extLst>
    </cfRule>
  </conditionalFormatting>
  <conditionalFormatting sqref="DY89:DY90">
    <cfRule type="dataBar" priority="63">
      <dataBar showValue="0">
        <cfvo type="num" val="0"/>
        <cfvo type="num" val="1"/>
        <color theme="4" tint="-0.249977111117893"/>
      </dataBar>
      <extLst>
        <ext xmlns:x14="http://schemas.microsoft.com/office/spreadsheetml/2009/9/main" uri="{B025F937-C7B1-47D3-B67F-A62EFF666E3E}">
          <x14:id>{E912005E-F8D2-7B4A-8812-9AEDD8DA6613}</x14:id>
        </ext>
      </extLst>
    </cfRule>
  </conditionalFormatting>
  <conditionalFormatting sqref="BA22:BB42">
    <cfRule type="containsText" dxfId="59" priority="61" operator="containsText" text="1">
      <formula>NOT(ISERROR(SEARCH("1",BA22)))</formula>
    </cfRule>
    <cfRule type="containsText" dxfId="58" priority="62" operator="containsText" text="0">
      <formula>NOT(ISERROR(SEARCH("0",BA22)))</formula>
    </cfRule>
  </conditionalFormatting>
  <conditionalFormatting sqref="AH70:AH88 AH90:AH201">
    <cfRule type="containsText" dxfId="57" priority="57" operator="containsText" text="1">
      <formula>NOT(ISERROR(SEARCH("1",AH70)))</formula>
    </cfRule>
    <cfRule type="containsText" dxfId="56" priority="58" operator="containsText" text="0">
      <formula>NOT(ISERROR(SEARCH("0",AH70)))</formula>
    </cfRule>
  </conditionalFormatting>
  <conditionalFormatting sqref="EH91:EH199 EH12:EH67">
    <cfRule type="iconSet" priority="116">
      <iconSet iconSet="3Symbols2">
        <cfvo type="percent" val="0"/>
        <cfvo type="num" val="0"/>
        <cfvo type="num" val="1"/>
      </iconSet>
    </cfRule>
  </conditionalFormatting>
  <conditionalFormatting sqref="EU174:EV199">
    <cfRule type="iconSet" priority="117">
      <iconSet iconSet="3Symbols2">
        <cfvo type="percent" val="0"/>
        <cfvo type="num" val="0"/>
        <cfvo type="num" val="1"/>
      </iconSet>
    </cfRule>
  </conditionalFormatting>
  <conditionalFormatting sqref="O226:P256 O258:P291 O293:P303 T293:Y303 T258:Y291 T226:Y256">
    <cfRule type="colorScale" priority="118">
      <colorScale>
        <cfvo type="min"/>
        <cfvo type="percentile" val="50"/>
        <cfvo type="max"/>
        <color rgb="FFF8696B"/>
        <color rgb="FFFFEB84"/>
        <color rgb="FF63BE7B"/>
      </colorScale>
    </cfRule>
  </conditionalFormatting>
  <conditionalFormatting sqref="Z85:Z88 Z90:Z201">
    <cfRule type="containsText" dxfId="55" priority="59" operator="containsText" text="1">
      <formula>NOT(ISERROR(SEARCH("1",Z85)))</formula>
    </cfRule>
    <cfRule type="containsText" dxfId="54" priority="60" operator="containsText" text="0">
      <formula>NOT(ISERROR(SEARCH("0",Z85)))</formula>
    </cfRule>
  </conditionalFormatting>
  <conditionalFormatting sqref="BH6:BH42 BH54:BH88 BH90:BH203">
    <cfRule type="containsText" dxfId="53" priority="55" operator="containsText" text="1">
      <formula>NOT(ISERROR(SEARCH("1",BH6)))</formula>
    </cfRule>
    <cfRule type="containsText" dxfId="52" priority="56" operator="containsText" text="0">
      <formula>NOT(ISERROR(SEARCH("0",BH6)))</formula>
    </cfRule>
  </conditionalFormatting>
  <conditionalFormatting sqref="BI6:BM42 BI54:BM88 BI90:BM203">
    <cfRule type="containsText" dxfId="51" priority="53" operator="containsText" text="1">
      <formula>NOT(ISERROR(SEARCH("1",BI6)))</formula>
    </cfRule>
    <cfRule type="containsText" dxfId="50" priority="54" operator="containsText" text="0">
      <formula>NOT(ISERROR(SEARCH("0",BI6)))</formula>
    </cfRule>
  </conditionalFormatting>
  <conditionalFormatting sqref="BP203:BQ203">
    <cfRule type="containsText" dxfId="49" priority="51" operator="containsText" text="1">
      <formula>NOT(ISERROR(SEARCH("1",BP203)))</formula>
    </cfRule>
    <cfRule type="containsText" dxfId="48" priority="52" operator="containsText" text="0">
      <formula>NOT(ISERROR(SEARCH("0",BP203)))</formula>
    </cfRule>
  </conditionalFormatting>
  <conditionalFormatting sqref="DA6:DC88 DA90:DC203">
    <cfRule type="containsText" dxfId="47" priority="49" operator="containsText" text="1">
      <formula>NOT(ISERROR(SEARCH("1",DA6)))</formula>
    </cfRule>
    <cfRule type="containsText" dxfId="46" priority="50" operator="containsText" text="0">
      <formula>NOT(ISERROR(SEARCH("0",DA6)))</formula>
    </cfRule>
  </conditionalFormatting>
  <conditionalFormatting sqref="BT43:BT53 BA43:BF53 BP43:BQ53">
    <cfRule type="containsText" dxfId="45" priority="47" operator="containsText" text="1">
      <formula>NOT(ISERROR(SEARCH("1",BA43)))</formula>
    </cfRule>
    <cfRule type="containsText" dxfId="44" priority="48" operator="containsText" text="0">
      <formula>NOT(ISERROR(SEARCH("0",BA43)))</formula>
    </cfRule>
  </conditionalFormatting>
  <conditionalFormatting sqref="BT43:BT53">
    <cfRule type="containsText" dxfId="43" priority="45" operator="containsText" text="1">
      <formula>NOT(ISERROR(SEARCH("1",BT43)))</formula>
    </cfRule>
    <cfRule type="containsText" dxfId="42" priority="46" operator="containsText" text="0">
      <formula>NOT(ISERROR(SEARCH("0",BT43)))</formula>
    </cfRule>
  </conditionalFormatting>
  <conditionalFormatting sqref="BA43:BB45">
    <cfRule type="containsText" dxfId="41" priority="43" operator="containsText" text="1">
      <formula>NOT(ISERROR(SEARCH("1",BA43)))</formula>
    </cfRule>
    <cfRule type="containsText" dxfId="40" priority="44" operator="containsText" text="0">
      <formula>NOT(ISERROR(SEARCH("0",BA43)))</formula>
    </cfRule>
  </conditionalFormatting>
  <conditionalFormatting sqref="BH43:BH53">
    <cfRule type="containsText" dxfId="39" priority="41" operator="containsText" text="1">
      <formula>NOT(ISERROR(SEARCH("1",BH43)))</formula>
    </cfRule>
    <cfRule type="containsText" dxfId="38" priority="42" operator="containsText" text="0">
      <formula>NOT(ISERROR(SEARCH("0",BH43)))</formula>
    </cfRule>
  </conditionalFormatting>
  <conditionalFormatting sqref="BI43:BM53">
    <cfRule type="containsText" dxfId="37" priority="39" operator="containsText" text="1">
      <formula>NOT(ISERROR(SEARCH("1",BI43)))</formula>
    </cfRule>
    <cfRule type="containsText" dxfId="36" priority="40" operator="containsText" text="0">
      <formula>NOT(ISERROR(SEARCH("0",BI43)))</formula>
    </cfRule>
  </conditionalFormatting>
  <conditionalFormatting sqref="FK6:FK203">
    <cfRule type="colorScale" priority="37">
      <colorScale>
        <cfvo type="percentile" val="10"/>
        <cfvo type="num" val="0"/>
        <cfvo type="percentile" val="90"/>
        <color rgb="FFF8696B"/>
        <color rgb="FFFFEB84"/>
        <color rgb="FF63BE7B"/>
      </colorScale>
    </cfRule>
  </conditionalFormatting>
  <conditionalFormatting sqref="FJ6:FJ203">
    <cfRule type="colorScale" priority="38">
      <colorScale>
        <cfvo type="percentile" val="10"/>
        <cfvo type="num" val="0"/>
        <cfvo type="percentile" val="90"/>
        <color rgb="FF63BE7B"/>
        <color rgb="FFFFEB84"/>
        <color rgb="FFF8696B"/>
      </colorScale>
    </cfRule>
  </conditionalFormatting>
  <conditionalFormatting sqref="Z89 AH89 AO89 AV89 BX89 BT89 CC89 CH89:CK89 CP89:CQ89 CV89:CW89 BA89:BF89 BP89:BQ89">
    <cfRule type="containsText" dxfId="35" priority="35" operator="containsText" text="1">
      <formula>NOT(ISERROR(SEARCH("1",Z89)))</formula>
    </cfRule>
    <cfRule type="containsText" dxfId="34" priority="36" operator="containsText" text="0">
      <formula>NOT(ISERROR(SEARCH("0",Z89)))</formula>
    </cfRule>
  </conditionalFormatting>
  <conditionalFormatting sqref="Z89">
    <cfRule type="containsText" dxfId="33" priority="33" operator="containsText" text="1">
      <formula>NOT(ISERROR(SEARCH("1",Z89)))</formula>
    </cfRule>
    <cfRule type="containsText" dxfId="32" priority="34" operator="containsText" text="0">
      <formula>NOT(ISERROR(SEARCH("0",Z89)))</formula>
    </cfRule>
  </conditionalFormatting>
  <conditionalFormatting sqref="AH89">
    <cfRule type="containsText" dxfId="31" priority="31" operator="containsText" text="1">
      <formula>NOT(ISERROR(SEARCH("1",AH89)))</formula>
    </cfRule>
    <cfRule type="containsText" dxfId="30" priority="32" operator="containsText" text="0">
      <formula>NOT(ISERROR(SEARCH("0",AH89)))</formula>
    </cfRule>
  </conditionalFormatting>
  <conditionalFormatting sqref="AO89">
    <cfRule type="containsText" dxfId="29" priority="29" operator="containsText" text="1">
      <formula>NOT(ISERROR(SEARCH("1",AO89)))</formula>
    </cfRule>
    <cfRule type="containsText" dxfId="28" priority="30" operator="containsText" text="0">
      <formula>NOT(ISERROR(SEARCH("0",AO89)))</formula>
    </cfRule>
  </conditionalFormatting>
  <conditionalFormatting sqref="AV89">
    <cfRule type="containsText" dxfId="27" priority="27" operator="containsText" text="1">
      <formula>NOT(ISERROR(SEARCH("1",AV89)))</formula>
    </cfRule>
    <cfRule type="containsText" dxfId="26" priority="28" operator="containsText" text="0">
      <formula>NOT(ISERROR(SEARCH("0",AV89)))</formula>
    </cfRule>
  </conditionalFormatting>
  <conditionalFormatting sqref="BT89">
    <cfRule type="containsText" dxfId="25" priority="25" operator="containsText" text="1">
      <formula>NOT(ISERROR(SEARCH("1",BT89)))</formula>
    </cfRule>
    <cfRule type="containsText" dxfId="24" priority="26" operator="containsText" text="0">
      <formula>NOT(ISERROR(SEARCH("0",BT89)))</formula>
    </cfRule>
  </conditionalFormatting>
  <conditionalFormatting sqref="BX89">
    <cfRule type="containsText" dxfId="23" priority="23" operator="containsText" text="1">
      <formula>NOT(ISERROR(SEARCH("1",BX89)))</formula>
    </cfRule>
    <cfRule type="containsText" dxfId="22" priority="24" operator="containsText" text="0">
      <formula>NOT(ISERROR(SEARCH("0",BX89)))</formula>
    </cfRule>
  </conditionalFormatting>
  <conditionalFormatting sqref="CC89">
    <cfRule type="containsText" dxfId="21" priority="21" operator="containsText" text="1">
      <formula>NOT(ISERROR(SEARCH("1",CC89)))</formula>
    </cfRule>
    <cfRule type="containsText" dxfId="20" priority="22" operator="containsText" text="0">
      <formula>NOT(ISERROR(SEARCH("0",CC89)))</formula>
    </cfRule>
  </conditionalFormatting>
  <conditionalFormatting sqref="CH89:CK89">
    <cfRule type="containsText" dxfId="19" priority="19" operator="containsText" text="1">
      <formula>NOT(ISERROR(SEARCH("1",CH89)))</formula>
    </cfRule>
    <cfRule type="containsText" dxfId="18" priority="20" operator="containsText" text="0">
      <formula>NOT(ISERROR(SEARCH("0",CH89)))</formula>
    </cfRule>
  </conditionalFormatting>
  <conditionalFormatting sqref="CP89:CQ89">
    <cfRule type="containsText" dxfId="17" priority="17" operator="containsText" text="1">
      <formula>NOT(ISERROR(SEARCH("1",CP89)))</formula>
    </cfRule>
    <cfRule type="containsText" dxfId="16" priority="18" operator="containsText" text="0">
      <formula>NOT(ISERROR(SEARCH("0",CP89)))</formula>
    </cfRule>
  </conditionalFormatting>
  <conditionalFormatting sqref="CV89:CW89">
    <cfRule type="containsText" dxfId="15" priority="15" operator="containsText" text="1">
      <formula>NOT(ISERROR(SEARCH("1",CV89)))</formula>
    </cfRule>
    <cfRule type="containsText" dxfId="14" priority="16" operator="containsText" text="0">
      <formula>NOT(ISERROR(SEARCH("0",CV89)))</formula>
    </cfRule>
  </conditionalFormatting>
  <conditionalFormatting sqref="BA89:BB89">
    <cfRule type="containsText" dxfId="13" priority="13" operator="containsText" text="1">
      <formula>NOT(ISERROR(SEARCH("1",BA89)))</formula>
    </cfRule>
    <cfRule type="containsText" dxfId="12" priority="14" operator="containsText" text="0">
      <formula>NOT(ISERROR(SEARCH("0",BA89)))</formula>
    </cfRule>
  </conditionalFormatting>
  <conditionalFormatting sqref="BH89">
    <cfRule type="containsText" dxfId="11" priority="11" operator="containsText" text="1">
      <formula>NOT(ISERROR(SEARCH("1",BH89)))</formula>
    </cfRule>
    <cfRule type="containsText" dxfId="10" priority="12" operator="containsText" text="0">
      <formula>NOT(ISERROR(SEARCH("0",BH89)))</formula>
    </cfRule>
  </conditionalFormatting>
  <conditionalFormatting sqref="BI89:BM89">
    <cfRule type="containsText" dxfId="9" priority="9" operator="containsText" text="1">
      <formula>NOT(ISERROR(SEARCH("1",BI89)))</formula>
    </cfRule>
    <cfRule type="containsText" dxfId="8" priority="10" operator="containsText" text="0">
      <formula>NOT(ISERROR(SEARCH("0",BI89)))</formula>
    </cfRule>
  </conditionalFormatting>
  <conditionalFormatting sqref="DA89:DC89">
    <cfRule type="containsText" dxfId="7" priority="7" operator="containsText" text="1">
      <formula>NOT(ISERROR(SEARCH("1",DA89)))</formula>
    </cfRule>
    <cfRule type="containsText" dxfId="6" priority="8" operator="containsText" text="0">
      <formula>NOT(ISERROR(SEARCH("0",DA89)))</formula>
    </cfRule>
  </conditionalFormatting>
  <conditionalFormatting sqref="T90">
    <cfRule type="containsText" dxfId="5" priority="5" operator="containsText" text="1">
      <formula>NOT(ISERROR(SEARCH("1",T90)))</formula>
    </cfRule>
    <cfRule type="containsText" dxfId="4" priority="6" operator="containsText" text="0">
      <formula>NOT(ISERROR(SEARCH("0",T90)))</formula>
    </cfRule>
  </conditionalFormatting>
  <conditionalFormatting sqref="T90">
    <cfRule type="containsText" dxfId="3" priority="3" operator="containsText" text="1">
      <formula>NOT(ISERROR(SEARCH("1",T90)))</formula>
    </cfRule>
    <cfRule type="containsText" dxfId="2" priority="4" operator="containsText" text="0">
      <formula>NOT(ISERROR(SEARCH("0",T90)))</formula>
    </cfRule>
  </conditionalFormatting>
  <conditionalFormatting sqref="U90">
    <cfRule type="containsText" dxfId="1" priority="1" operator="containsText" text="1">
      <formula>NOT(ISERROR(SEARCH("1",U90)))</formula>
    </cfRule>
    <cfRule type="containsText" dxfId="0" priority="2" operator="containsText" text="0">
      <formula>NOT(ISERROR(SEARCH("0",U90)))</formula>
    </cfRule>
  </conditionalFormatting>
  <pageMargins left="0.7" right="0.7" top="0.75" bottom="0.75" header="0.3" footer="0.3"/>
  <pageSetup paperSize="9" scale="79"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Drop Down 1">
              <controlPr defaultSize="0" autoLine="0" autoPict="0" macro="[1]!DropDown2902_Change">
                <anchor moveWithCells="1">
                  <from>
                    <xdr:col>1</xdr:col>
                    <xdr:colOff>165100</xdr:colOff>
                    <xdr:row>1</xdr:row>
                    <xdr:rowOff>0</xdr:rowOff>
                  </from>
                  <to>
                    <xdr:col>1</xdr:col>
                    <xdr:colOff>1079500</xdr:colOff>
                    <xdr:row>1</xdr:row>
                    <xdr:rowOff>304800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dataBar" id="{C604555F-DBC0-A749-88D4-8402A8CD75C7}">
            <x14:dataBar minLength="0" maxLength="100" gradient="0">
              <x14:cfvo type="num">
                <xm:f>0</xm:f>
              </x14:cfvo>
              <x14:cfvo type="num">
                <xm:f>1</xm:f>
              </x14:cfvo>
              <x14:negativeFillColor rgb="FFFF0000"/>
              <x14:axisColor rgb="FF000000"/>
            </x14:dataBar>
          </x14:cfRule>
          <xm:sqref>DS100:DS104 DS52:DS90 DS186:DS202</xm:sqref>
        </x14:conditionalFormatting>
        <x14:conditionalFormatting xmlns:xm="http://schemas.microsoft.com/office/excel/2006/main">
          <x14:cfRule type="dataBar" id="{9D222443-B404-464D-B815-C787CD8A4EFE}">
            <x14:dataBar minLength="0" maxLength="100" gradient="0">
              <x14:cfvo type="num">
                <xm:f>0</xm:f>
              </x14:cfvo>
              <x14:cfvo type="num">
                <xm:f>1</xm:f>
              </x14:cfvo>
              <x14:negativeFillColor rgb="FFFF0000"/>
              <x14:axisColor rgb="FF000000"/>
            </x14:dataBar>
          </x14:cfRule>
          <xm:sqref>DS163:DS184</xm:sqref>
        </x14:conditionalFormatting>
        <x14:conditionalFormatting xmlns:xm="http://schemas.microsoft.com/office/excel/2006/main">
          <x14:cfRule type="dataBar" id="{06D5DBF2-8A91-FE45-B7C7-AEDE2DF1C2CE}">
            <x14:dataBar minLength="0" maxLength="100" gradient="0">
              <x14:cfvo type="num">
                <xm:f>0</xm:f>
              </x14:cfvo>
              <x14:cfvo type="num">
                <xm:f>1</xm:f>
              </x14:cfvo>
              <x14:negativeFillColor rgb="FFFF0000"/>
              <x14:axisColor rgb="FF000000"/>
            </x14:dataBar>
          </x14:cfRule>
          <xm:sqref>DS22:DS51 DS140 DS157</xm:sqref>
        </x14:conditionalFormatting>
        <x14:conditionalFormatting xmlns:xm="http://schemas.microsoft.com/office/excel/2006/main">
          <x14:cfRule type="dataBar" id="{243D6AAA-173B-2744-8F3F-710457F89D05}">
            <x14:dataBar minLength="0" maxLength="100" gradient="0">
              <x14:cfvo type="num">
                <xm:f>0</xm:f>
              </x14:cfvo>
              <x14:cfvo type="num">
                <xm:f>1</xm:f>
              </x14:cfvo>
              <x14:negativeFillColor rgb="FFFF0000"/>
              <x14:axisColor rgb="FF000000"/>
            </x14:dataBar>
          </x14:cfRule>
          <xm:sqref>DS91:DS99</xm:sqref>
        </x14:conditionalFormatting>
        <x14:conditionalFormatting xmlns:xm="http://schemas.microsoft.com/office/excel/2006/main">
          <x14:cfRule type="dataBar" id="{4E706199-E1A6-A843-ADCE-48DE9B515AE8}">
            <x14:dataBar minLength="0" maxLength="100" gradient="0">
              <x14:cfvo type="num">
                <xm:f>0</xm:f>
              </x14:cfvo>
              <x14:cfvo type="num">
                <xm:f>1</xm:f>
              </x14:cfvo>
              <x14:negativeFillColor rgb="FFFF0000"/>
              <x14:axisColor rgb="FF000000"/>
            </x14:dataBar>
          </x14:cfRule>
          <xm:sqref>DS105:DS132</xm:sqref>
        </x14:conditionalFormatting>
        <x14:conditionalFormatting xmlns:xm="http://schemas.microsoft.com/office/excel/2006/main">
          <x14:cfRule type="dataBar" id="{9CA8A2AE-48CF-1544-B106-D2D4D0910CE3}">
            <x14:dataBar minLength="0" maxLength="100" gradient="0">
              <x14:cfvo type="num">
                <xm:f>0</xm:f>
              </x14:cfvo>
              <x14:cfvo type="num">
                <xm:f>1</xm:f>
              </x14:cfvo>
              <x14:negativeFillColor rgb="FFFF0000"/>
              <x14:axisColor rgb="FF000000"/>
            </x14:dataBar>
          </x14:cfRule>
          <xm:sqref>DS133:DS139 DS141:DS156 DS158:DS162</xm:sqref>
        </x14:conditionalFormatting>
        <x14:conditionalFormatting xmlns:xm="http://schemas.microsoft.com/office/excel/2006/main">
          <x14:cfRule type="dataBar" id="{A5964527-53E2-354B-B5F0-EB6D24D2018E}">
            <x14:dataBar minLength="0" maxLength="100" gradient="0">
              <x14:cfvo type="num">
                <xm:f>0</xm:f>
              </x14:cfvo>
              <x14:cfvo type="num">
                <xm:f>1</xm:f>
              </x14:cfvo>
              <x14:negativeFillColor rgb="FFFF0000"/>
              <x14:axisColor rgb="FF000000"/>
            </x14:dataBar>
          </x14:cfRule>
          <xm:sqref>DT6:DT200 DT203</xm:sqref>
        </x14:conditionalFormatting>
        <x14:conditionalFormatting xmlns:xm="http://schemas.microsoft.com/office/excel/2006/main">
          <x14:cfRule type="dataBar" id="{7D747D48-E4E0-ED48-A4F5-9ADAED456B0F}">
            <x14:dataBar minLength="0" maxLength="100" gradient="0">
              <x14:cfvo type="num">
                <xm:f>0</xm:f>
              </x14:cfvo>
              <x14:cfvo type="num">
                <xm:f>1</xm:f>
              </x14:cfvo>
              <x14:negativeFillColor rgb="FFFF0000"/>
              <x14:axisColor rgb="FF000000"/>
            </x14:dataBar>
          </x14:cfRule>
          <xm:sqref>DU6:DU200 DU203</xm:sqref>
        </x14:conditionalFormatting>
        <x14:conditionalFormatting xmlns:xm="http://schemas.microsoft.com/office/excel/2006/main">
          <x14:cfRule type="dataBar" id="{158BC4D5-893E-F047-9021-83977B3EC4CD}">
            <x14:dataBar minLength="0" maxLength="100" gradient="0">
              <x14:cfvo type="num">
                <xm:f>0</xm:f>
              </x14:cfvo>
              <x14:cfvo type="num">
                <xm:f>1</xm:f>
              </x14:cfvo>
              <x14:negativeFillColor rgb="FFFF0000"/>
              <x14:axisColor rgb="FF000000"/>
            </x14:dataBar>
          </x14:cfRule>
          <xm:sqref>DV31:DV200 DV203 DV6:DV29</xm:sqref>
        </x14:conditionalFormatting>
        <x14:conditionalFormatting xmlns:xm="http://schemas.microsoft.com/office/excel/2006/main">
          <x14:cfRule type="dataBar" id="{FF51B0EF-BE49-D246-B40C-2ED1D3F75118}">
            <x14:dataBar minLength="0" maxLength="100" gradient="0">
              <x14:cfvo type="num">
                <xm:f>0</xm:f>
              </x14:cfvo>
              <x14:cfvo type="num">
                <xm:f>1</xm:f>
              </x14:cfvo>
              <x14:negativeFillColor rgb="FFFF0000"/>
              <x14:axisColor rgb="FF000000"/>
            </x14:dataBar>
          </x14:cfRule>
          <xm:sqref>DW6:DW200 DW203</xm:sqref>
        </x14:conditionalFormatting>
        <x14:conditionalFormatting xmlns:xm="http://schemas.microsoft.com/office/excel/2006/main">
          <x14:cfRule type="dataBar" id="{0E21D5D2-67F5-3A41-859E-0FF74C7E9E78}">
            <x14:dataBar minLength="0" maxLength="100" gradient="0">
              <x14:cfvo type="num">
                <xm:f>0</xm:f>
              </x14:cfvo>
              <x14:cfvo type="num">
                <xm:f>1</xm:f>
              </x14:cfvo>
              <x14:negativeFillColor rgb="FFFF0000"/>
              <x14:axisColor rgb="FF000000"/>
            </x14:dataBar>
          </x14:cfRule>
          <xm:sqref>DX91:DY200 DX50 DX6:DY49 DX203:DY203</xm:sqref>
        </x14:conditionalFormatting>
        <x14:conditionalFormatting xmlns:xm="http://schemas.microsoft.com/office/excel/2006/main">
          <x14:cfRule type="dataBar" id="{952284C6-4AB3-C040-9794-59ADDCE63F53}">
            <x14:dataBar minLength="0" maxLength="100" gradient="0">
              <x14:cfvo type="num">
                <xm:f>0</xm:f>
              </x14:cfvo>
              <x14:cfvo type="num">
                <xm:f>1</xm:f>
              </x14:cfvo>
              <x14:negativeFillColor rgb="FFFF0000"/>
              <x14:axisColor rgb="FF000000"/>
            </x14:dataBar>
          </x14:cfRule>
          <xm:sqref>DV30</xm:sqref>
        </x14:conditionalFormatting>
        <x14:conditionalFormatting xmlns:xm="http://schemas.microsoft.com/office/excel/2006/main">
          <x14:cfRule type="dataBar" id="{1A0B3A9A-5413-C249-A49A-A058CF81D4CA}">
            <x14:dataBar minLength="0" maxLength="100" gradient="0">
              <x14:cfvo type="num">
                <xm:f>0</xm:f>
              </x14:cfvo>
              <x14:cfvo type="num">
                <xm:f>1</xm:f>
              </x14:cfvo>
              <x14:negativeFillColor rgb="FFFF0000"/>
              <x14:axisColor rgb="FF000000"/>
            </x14:dataBar>
          </x14:cfRule>
          <xm:sqref>DX51:DY67 DX68:DX90</xm:sqref>
        </x14:conditionalFormatting>
        <x14:conditionalFormatting xmlns:xm="http://schemas.microsoft.com/office/excel/2006/main">
          <x14:cfRule type="dataBar" id="{1CB2C2E9-C538-0141-A4F8-61C1C48C03C7}">
            <x14:dataBar minLength="0" maxLength="100" gradient="0">
              <x14:cfvo type="num">
                <xm:f>0</xm:f>
              </x14:cfvo>
              <x14:cfvo type="num">
                <xm:f>1</xm:f>
              </x14:cfvo>
              <x14:negativeFillColor rgb="FFFF0000"/>
              <x14:axisColor rgb="FF000000"/>
            </x14:dataBar>
          </x14:cfRule>
          <xm:sqref>DS6:DS21 DS203</xm:sqref>
        </x14:conditionalFormatting>
        <x14:conditionalFormatting xmlns:xm="http://schemas.microsoft.com/office/excel/2006/main">
          <x14:cfRule type="dataBar" id="{5A009EB5-0DB6-AA40-AC96-CE0B44FA8604}">
            <x14:dataBar minLength="0" maxLength="100" gradient="0">
              <x14:cfvo type="num">
                <xm:f>0</xm:f>
              </x14:cfvo>
              <x14:cfvo type="num">
                <xm:f>1</xm:f>
              </x14:cfvo>
              <x14:negativeFillColor rgb="FFFF0000"/>
              <x14:axisColor rgb="FF000000"/>
            </x14:dataBar>
          </x14:cfRule>
          <xm:sqref>DY68:DY88</xm:sqref>
        </x14:conditionalFormatting>
        <x14:conditionalFormatting xmlns:xm="http://schemas.microsoft.com/office/excel/2006/main">
          <x14:cfRule type="dataBar" id="{E912005E-F8D2-7B4A-8812-9AEDD8DA6613}">
            <x14:dataBar minLength="0" maxLength="100" gradient="0">
              <x14:cfvo type="num">
                <xm:f>0</xm:f>
              </x14:cfvo>
              <x14:cfvo type="num">
                <xm:f>1</xm:f>
              </x14:cfvo>
              <x14:negativeFillColor rgb="FFFF0000"/>
              <x14:axisColor rgb="FF000000"/>
            </x14:dataBar>
          </x14:cfRule>
          <xm:sqref>DY89:DY90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Target 15</vt:lpstr>
      <vt:lpstr>Filters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2017-03-15T20:39:42Z</cp:lastPrinted>
  <dcterms:created xsi:type="dcterms:W3CDTF">2016-05-16T19:40:40Z</dcterms:created>
  <dcterms:modified xsi:type="dcterms:W3CDTF">2017-03-20T16:36:18Z</dcterms:modified>
</cp:coreProperties>
</file>